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1" sheetId="4" r:id="rId1"/>
    <sheet name="2" sheetId="5" r:id="rId2"/>
    <sheet name="Лист1" sheetId="1" r:id="rId3"/>
    <sheet name="Лист2" sheetId="2" r:id="rId4"/>
    <sheet name="Лист3" sheetId="3" r:id="rId5"/>
  </sheets>
  <definedNames>
    <definedName name="_xlnm.Print_Titles" localSheetId="0">'1'!$5:$6</definedName>
    <definedName name="_xlnm.Print_Titles" localSheetId="1">'2'!$A:$C,'2'!$4:$4</definedName>
    <definedName name="_xlnm.Print_Area" localSheetId="0">'1'!$A$1:$BY$123</definedName>
    <definedName name="_xlnm.Print_Area" localSheetId="1">'2'!$X$4:$AE$48</definedName>
  </definedNames>
  <calcPr calcId="162913" refMode="R1C1"/>
</workbook>
</file>

<file path=xl/calcChain.xml><?xml version="1.0" encoding="utf-8"?>
<calcChain xmlns="http://schemas.openxmlformats.org/spreadsheetml/2006/main">
  <c r="AI47" i="5" l="1"/>
  <c r="L49" i="5"/>
  <c r="AK47" i="5"/>
  <c r="AJ47" i="5"/>
  <c r="AH46" i="5"/>
  <c r="AK45" i="5" s="1"/>
  <c r="AG46" i="5"/>
  <c r="AJ45" i="5" s="1"/>
  <c r="AF46" i="5"/>
  <c r="AB46" i="5"/>
  <c r="AD46" i="5" s="1"/>
  <c r="AI45" i="5"/>
  <c r="AB45" i="5"/>
  <c r="G45" i="5"/>
  <c r="F45" i="5"/>
  <c r="E45" i="5"/>
  <c r="D45" i="5"/>
  <c r="AK44" i="5"/>
  <c r="AJ44" i="5"/>
  <c r="AI44" i="5"/>
  <c r="AC44" i="5"/>
  <c r="AK43" i="5"/>
  <c r="AJ43" i="5"/>
  <c r="AI43" i="5"/>
  <c r="AD43" i="5"/>
  <c r="AK42" i="5"/>
  <c r="AJ42" i="5"/>
  <c r="AI42" i="5"/>
  <c r="AH42" i="5"/>
  <c r="AG42" i="5"/>
  <c r="AF42" i="5"/>
  <c r="AB42" i="5"/>
  <c r="AD42" i="5" s="1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AK41" i="5"/>
  <c r="AI41" i="5"/>
  <c r="AD41" i="5"/>
  <c r="AC41" i="5"/>
  <c r="AK40" i="5"/>
  <c r="AJ40" i="5"/>
  <c r="AI40" i="5"/>
  <c r="AH40" i="5"/>
  <c r="AG40" i="5"/>
  <c r="AJ39" i="5" s="1"/>
  <c r="AF40" i="5"/>
  <c r="AI39" i="5" s="1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AK39" i="5"/>
  <c r="AH39" i="5"/>
  <c r="AK38" i="5" s="1"/>
  <c r="AG39" i="5"/>
  <c r="AF39" i="5"/>
  <c r="AD39" i="5"/>
  <c r="AC39" i="5"/>
  <c r="AB39" i="5"/>
  <c r="AJ38" i="5"/>
  <c r="AI38" i="5"/>
  <c r="AC38" i="5"/>
  <c r="AB38" i="5"/>
  <c r="M38" i="5"/>
  <c r="AK37" i="5"/>
  <c r="AJ37" i="5"/>
  <c r="AI37" i="5"/>
  <c r="AD37" i="5"/>
  <c r="AC37" i="5"/>
  <c r="AK36" i="5"/>
  <c r="AJ36" i="5"/>
  <c r="AI36" i="5"/>
  <c r="AB36" i="5"/>
  <c r="AC36" i="5" s="1"/>
  <c r="AK35" i="5"/>
  <c r="AJ35" i="5"/>
  <c r="AI35" i="5"/>
  <c r="AD35" i="5"/>
  <c r="AC35" i="5"/>
  <c r="F35" i="5"/>
  <c r="AK34" i="5"/>
  <c r="AJ34" i="5"/>
  <c r="AI34" i="5"/>
  <c r="AH34" i="5"/>
  <c r="AG34" i="5"/>
  <c r="AF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AH33" i="5"/>
  <c r="AK33" i="5" s="1"/>
  <c r="AG33" i="5"/>
  <c r="AJ33" i="5" s="1"/>
  <c r="AF33" i="5"/>
  <c r="AI33" i="5" s="1"/>
  <c r="AB33" i="5"/>
  <c r="AD33" i="5" s="1"/>
  <c r="AH32" i="5"/>
  <c r="AK32" i="5" s="1"/>
  <c r="AG32" i="5"/>
  <c r="AJ32" i="5" s="1"/>
  <c r="AF32" i="5"/>
  <c r="AI32" i="5" s="1"/>
  <c r="AB32" i="5"/>
  <c r="AC32" i="5" s="1"/>
  <c r="J32" i="5"/>
  <c r="I32" i="5"/>
  <c r="H32" i="5"/>
  <c r="G32" i="5"/>
  <c r="F32" i="5"/>
  <c r="E32" i="5"/>
  <c r="D32" i="5"/>
  <c r="AK31" i="5"/>
  <c r="AJ31" i="5"/>
  <c r="AI31" i="5"/>
  <c r="AD31" i="5"/>
  <c r="AC31" i="5"/>
  <c r="AH30" i="5"/>
  <c r="AK30" i="5" s="1"/>
  <c r="AG30" i="5"/>
  <c r="AJ30" i="5" s="1"/>
  <c r="AF30" i="5"/>
  <c r="AI30" i="5" s="1"/>
  <c r="AB30" i="5"/>
  <c r="AA30" i="5"/>
  <c r="Z30" i="5"/>
  <c r="Y30" i="5"/>
  <c r="X30" i="5"/>
  <c r="W30" i="5"/>
  <c r="V30" i="5"/>
  <c r="U30" i="5"/>
  <c r="T30" i="5"/>
  <c r="S30" i="5"/>
  <c r="R30" i="5"/>
  <c r="M30" i="5"/>
  <c r="L30" i="5"/>
  <c r="K30" i="5"/>
  <c r="AK29" i="5"/>
  <c r="AJ29" i="5"/>
  <c r="AI29" i="5"/>
  <c r="AD29" i="5"/>
  <c r="AC29" i="5"/>
  <c r="F29" i="5"/>
  <c r="AK28" i="5"/>
  <c r="AJ28" i="5"/>
  <c r="AI28" i="5"/>
  <c r="AD28" i="5"/>
  <c r="AC28" i="5"/>
  <c r="F28" i="5"/>
  <c r="AK27" i="5"/>
  <c r="AJ27" i="5"/>
  <c r="AI27" i="5"/>
  <c r="AD27" i="5"/>
  <c r="AC27" i="5"/>
  <c r="F27" i="5"/>
  <c r="AH26" i="5"/>
  <c r="AK26" i="5" s="1"/>
  <c r="AG26" i="5"/>
  <c r="AJ26" i="5" s="1"/>
  <c r="AF26" i="5"/>
  <c r="AI26" i="5" s="1"/>
  <c r="AB26" i="5"/>
  <c r="AC26" i="5" s="1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E26" i="5"/>
  <c r="D26" i="5"/>
  <c r="AH25" i="5"/>
  <c r="AK25" i="5" s="1"/>
  <c r="AG25" i="5"/>
  <c r="AJ25" i="5" s="1"/>
  <c r="AF25" i="5"/>
  <c r="AI25" i="5" s="1"/>
  <c r="AB25" i="5"/>
  <c r="AC25" i="5" s="1"/>
  <c r="F25" i="5"/>
  <c r="F19" i="5" s="1"/>
  <c r="AK24" i="5"/>
  <c r="AJ24" i="5"/>
  <c r="AI24" i="5"/>
  <c r="AD24" i="5"/>
  <c r="F24" i="5"/>
  <c r="AK23" i="5"/>
  <c r="AJ23" i="5"/>
  <c r="AI23" i="5"/>
  <c r="AD23" i="5"/>
  <c r="AC23" i="5"/>
  <c r="F23" i="5"/>
  <c r="AK22" i="5"/>
  <c r="AJ22" i="5"/>
  <c r="AI22" i="5"/>
  <c r="AD22" i="5"/>
  <c r="AC22" i="5"/>
  <c r="AK21" i="5"/>
  <c r="AJ21" i="5"/>
  <c r="AI21" i="5"/>
  <c r="AC21" i="5"/>
  <c r="AK20" i="5"/>
  <c r="AJ20" i="5"/>
  <c r="AI20" i="5"/>
  <c r="AD20" i="5"/>
  <c r="AC20" i="5"/>
  <c r="F20" i="5"/>
  <c r="AI19" i="5"/>
  <c r="AH19" i="5"/>
  <c r="AK19" i="5" s="1"/>
  <c r="AG19" i="5"/>
  <c r="AJ19" i="5" s="1"/>
  <c r="AF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E19" i="5"/>
  <c r="D19" i="5"/>
  <c r="AK18" i="5"/>
  <c r="AJ18" i="5"/>
  <c r="AI18" i="5"/>
  <c r="AD18" i="5"/>
  <c r="AC18" i="5"/>
  <c r="AK17" i="5"/>
  <c r="AJ17" i="5"/>
  <c r="AI17" i="5"/>
  <c r="AD17" i="5"/>
  <c r="AC17" i="5"/>
  <c r="AK16" i="5"/>
  <c r="AJ16" i="5"/>
  <c r="AI16" i="5"/>
  <c r="AB16" i="5"/>
  <c r="F16" i="5"/>
  <c r="AK15" i="5"/>
  <c r="AJ15" i="5"/>
  <c r="AI15" i="5"/>
  <c r="AD15" i="5"/>
  <c r="AC15" i="5"/>
  <c r="F15" i="5"/>
  <c r="F14" i="5" s="1"/>
  <c r="AH14" i="5"/>
  <c r="AK14" i="5" s="1"/>
  <c r="AG14" i="5"/>
  <c r="AJ14" i="5" s="1"/>
  <c r="AF14" i="5"/>
  <c r="AI14" i="5" s="1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E14" i="5"/>
  <c r="D14" i="5"/>
  <c r="AK13" i="5"/>
  <c r="AJ13" i="5"/>
  <c r="AI13" i="5"/>
  <c r="AD13" i="5"/>
  <c r="AC13" i="5"/>
  <c r="F13" i="5"/>
  <c r="AH12" i="5"/>
  <c r="AK12" i="5" s="1"/>
  <c r="AG12" i="5"/>
  <c r="AJ12" i="5" s="1"/>
  <c r="AF12" i="5"/>
  <c r="AI12" i="5" s="1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AK11" i="5"/>
  <c r="AJ11" i="5"/>
  <c r="AI11" i="5"/>
  <c r="AD11" i="5"/>
  <c r="AC11" i="5"/>
  <c r="F11" i="5"/>
  <c r="AK10" i="5"/>
  <c r="AJ10" i="5"/>
  <c r="AI10" i="5"/>
  <c r="AD10" i="5"/>
  <c r="AC10" i="5"/>
  <c r="AK9" i="5"/>
  <c r="AJ9" i="5"/>
  <c r="AI9" i="5"/>
  <c r="AD9" i="5"/>
  <c r="AC9" i="5"/>
  <c r="F9" i="5"/>
  <c r="AK8" i="5"/>
  <c r="AJ8" i="5"/>
  <c r="AI8" i="5"/>
  <c r="AC8" i="5"/>
  <c r="AK7" i="5"/>
  <c r="AJ7" i="5"/>
  <c r="AI7" i="5"/>
  <c r="AD7" i="5"/>
  <c r="AC7" i="5"/>
  <c r="F7" i="5"/>
  <c r="AK6" i="5"/>
  <c r="AJ6" i="5"/>
  <c r="AI6" i="5"/>
  <c r="AD6" i="5"/>
  <c r="AC6" i="5"/>
  <c r="F6" i="5"/>
  <c r="AK5" i="5"/>
  <c r="AH5" i="5"/>
  <c r="AG5" i="5"/>
  <c r="AJ5" i="5" s="1"/>
  <c r="AF5" i="5"/>
  <c r="AI5" i="5" s="1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P47" i="5" l="1"/>
  <c r="P49" i="5" s="1"/>
  <c r="AD14" i="5"/>
  <c r="AC14" i="5"/>
  <c r="AD19" i="5"/>
  <c r="AC30" i="5"/>
  <c r="H47" i="5"/>
  <c r="E47" i="5"/>
  <c r="K47" i="5"/>
  <c r="K49" i="5" s="1"/>
  <c r="O47" i="5"/>
  <c r="O49" i="5" s="1"/>
  <c r="S47" i="5"/>
  <c r="S49" i="5" s="1"/>
  <c r="W47" i="5"/>
  <c r="AA47" i="5"/>
  <c r="AA49" i="5" s="1"/>
  <c r="AG47" i="5"/>
  <c r="AG49" i="5" s="1"/>
  <c r="G47" i="5"/>
  <c r="R47" i="5"/>
  <c r="R49" i="5" s="1"/>
  <c r="Z47" i="5"/>
  <c r="Z49" i="5" s="1"/>
  <c r="AC33" i="5"/>
  <c r="AD36" i="5"/>
  <c r="X47" i="5"/>
  <c r="X49" i="5" s="1"/>
  <c r="AD12" i="5"/>
  <c r="AD25" i="5"/>
  <c r="AD40" i="5"/>
  <c r="M47" i="5"/>
  <c r="M49" i="5" s="1"/>
  <c r="Q47" i="5"/>
  <c r="Q49" i="5" s="1"/>
  <c r="U47" i="5"/>
  <c r="U49" i="5" s="1"/>
  <c r="Y47" i="5"/>
  <c r="Y49" i="5" s="1"/>
  <c r="AC42" i="5"/>
  <c r="I47" i="5"/>
  <c r="N47" i="5"/>
  <c r="N49" i="5" s="1"/>
  <c r="F26" i="5"/>
  <c r="T47" i="5"/>
  <c r="T49" i="5" s="1"/>
  <c r="D47" i="5"/>
  <c r="AH47" i="5"/>
  <c r="AH49" i="5" s="1"/>
  <c r="AD34" i="5"/>
  <c r="J47" i="5"/>
  <c r="AF47" i="5"/>
  <c r="AK46" i="5"/>
  <c r="F47" i="5"/>
  <c r="L45" i="5"/>
  <c r="L46" i="5"/>
  <c r="O53" i="5"/>
  <c r="AJ46" i="5"/>
  <c r="V47" i="5"/>
  <c r="AC16" i="5"/>
  <c r="AC45" i="5"/>
  <c r="AD5" i="5"/>
  <c r="AC12" i="5"/>
  <c r="AD16" i="5"/>
  <c r="AD26" i="5"/>
  <c r="AD30" i="5"/>
  <c r="AD32" i="5"/>
  <c r="AC34" i="5"/>
  <c r="AD38" i="5"/>
  <c r="AC40" i="5"/>
  <c r="AD45" i="5"/>
  <c r="AC46" i="5"/>
  <c r="AB47" i="5"/>
  <c r="AC5" i="5"/>
  <c r="AJ41" i="5"/>
  <c r="L25" i="5" l="1"/>
  <c r="J46" i="5"/>
  <c r="J45" i="5" s="1"/>
  <c r="J49" i="5"/>
  <c r="AE16" i="5"/>
  <c r="AB49" i="5"/>
  <c r="L33" i="5"/>
  <c r="AE38" i="5"/>
  <c r="AI46" i="5"/>
  <c r="AF49" i="5"/>
  <c r="L44" i="5"/>
  <c r="L32" i="5"/>
  <c r="AE5" i="5"/>
  <c r="AE45" i="5"/>
  <c r="AE26" i="5"/>
  <c r="AE32" i="5"/>
  <c r="AE40" i="5"/>
  <c r="AC47" i="5"/>
  <c r="AC49" i="5" s="1"/>
  <c r="AE37" i="5"/>
  <c r="AE29" i="5"/>
  <c r="AE22" i="5"/>
  <c r="AE18" i="5"/>
  <c r="AE15" i="5"/>
  <c r="AE8" i="5"/>
  <c r="AE7" i="5"/>
  <c r="AE44" i="5"/>
  <c r="AE39" i="5"/>
  <c r="AE35" i="5"/>
  <c r="AE33" i="5"/>
  <c r="AE23" i="5"/>
  <c r="AE19" i="5"/>
  <c r="AE13" i="5"/>
  <c r="AE10" i="5"/>
  <c r="AE27" i="5"/>
  <c r="AE21" i="5"/>
  <c r="AE17" i="5"/>
  <c r="AE14" i="5"/>
  <c r="AE11" i="5"/>
  <c r="AE6" i="5"/>
  <c r="AE9" i="5"/>
  <c r="AE47" i="5"/>
  <c r="AE49" i="5" s="1"/>
  <c r="AE41" i="5"/>
  <c r="AE36" i="5"/>
  <c r="AE25" i="5"/>
  <c r="AD47" i="5"/>
  <c r="AD49" i="5" s="1"/>
  <c r="AE46" i="5"/>
  <c r="AE43" i="5"/>
  <c r="AE42" i="5"/>
  <c r="AE31" i="5"/>
  <c r="AE28" i="5"/>
  <c r="AE24" i="5"/>
  <c r="AE20" i="5"/>
  <c r="AE12" i="5"/>
  <c r="AE34" i="5"/>
  <c r="AE30" i="5"/>
  <c r="BY121" i="4" l="1"/>
  <c r="BW121" i="4"/>
  <c r="BV121" i="4"/>
  <c r="BT121" i="4"/>
  <c r="BS121" i="4"/>
  <c r="BQ121" i="4"/>
  <c r="BG121" i="4"/>
  <c r="BY120" i="4"/>
  <c r="BW120" i="4"/>
  <c r="BV120" i="4"/>
  <c r="BT120" i="4"/>
  <c r="BS120" i="4"/>
  <c r="BQ120" i="4"/>
  <c r="BG120" i="4"/>
  <c r="BY119" i="4"/>
  <c r="BW119" i="4"/>
  <c r="BV119" i="4"/>
  <c r="BT119" i="4"/>
  <c r="BS119" i="4"/>
  <c r="BQ119" i="4"/>
  <c r="BG119" i="4"/>
  <c r="Q119" i="4"/>
  <c r="BY118" i="4"/>
  <c r="BW118" i="4"/>
  <c r="BV118" i="4"/>
  <c r="BT118" i="4"/>
  <c r="BS118" i="4"/>
  <c r="BQ118" i="4"/>
  <c r="BG118" i="4"/>
  <c r="U118" i="4"/>
  <c r="M118" i="4"/>
  <c r="C118" i="4"/>
  <c r="C117" i="4" s="1"/>
  <c r="BX117" i="4"/>
  <c r="BU117" i="4"/>
  <c r="BR117" i="4"/>
  <c r="BP117" i="4"/>
  <c r="BP66" i="4" s="1"/>
  <c r="BM117" i="4"/>
  <c r="BL117" i="4"/>
  <c r="BK117" i="4"/>
  <c r="BJ117" i="4"/>
  <c r="BI117" i="4"/>
  <c r="BH117" i="4"/>
  <c r="BF117" i="4"/>
  <c r="BE117" i="4"/>
  <c r="BD117" i="4"/>
  <c r="BC117" i="4"/>
  <c r="BB117" i="4"/>
  <c r="BA117" i="4"/>
  <c r="AZ117" i="4"/>
  <c r="AY117" i="4"/>
  <c r="AX117" i="4"/>
  <c r="AW117" i="4"/>
  <c r="AV117" i="4"/>
  <c r="AU117" i="4"/>
  <c r="AT117" i="4"/>
  <c r="AS117" i="4"/>
  <c r="AR117" i="4"/>
  <c r="AQ117" i="4"/>
  <c r="AP117" i="4"/>
  <c r="AO117" i="4"/>
  <c r="AN117" i="4"/>
  <c r="AM117" i="4"/>
  <c r="AL117" i="4"/>
  <c r="AK117" i="4"/>
  <c r="AJ117" i="4"/>
  <c r="AI117" i="4"/>
  <c r="AH117" i="4"/>
  <c r="AG117" i="4"/>
  <c r="AF117" i="4"/>
  <c r="AE117" i="4"/>
  <c r="AD117" i="4"/>
  <c r="AC117" i="4"/>
  <c r="AC66" i="4" s="1"/>
  <c r="AB117" i="4"/>
  <c r="AA117" i="4"/>
  <c r="Z117" i="4"/>
  <c r="Y117" i="4"/>
  <c r="X117" i="4"/>
  <c r="W117" i="4"/>
  <c r="V117" i="4"/>
  <c r="U117" i="4"/>
  <c r="U66" i="4" s="1"/>
  <c r="T117" i="4"/>
  <c r="S117" i="4"/>
  <c r="R117" i="4"/>
  <c r="Q117" i="4"/>
  <c r="P117" i="4"/>
  <c r="O117" i="4"/>
  <c r="N117" i="4"/>
  <c r="M117" i="4"/>
  <c r="L117" i="4"/>
  <c r="K117" i="4"/>
  <c r="J117" i="4"/>
  <c r="I117" i="4"/>
  <c r="H117" i="4"/>
  <c r="G117" i="4"/>
  <c r="F117" i="4"/>
  <c r="E117" i="4"/>
  <c r="D117" i="4"/>
  <c r="BY116" i="4"/>
  <c r="BW116" i="4"/>
  <c r="BV116" i="4"/>
  <c r="BT116" i="4"/>
  <c r="BS116" i="4"/>
  <c r="BQ116" i="4"/>
  <c r="BG116" i="4"/>
  <c r="BY115" i="4"/>
  <c r="BW115" i="4"/>
  <c r="BV115" i="4"/>
  <c r="BT115" i="4"/>
  <c r="BS115" i="4"/>
  <c r="BQ115" i="4"/>
  <c r="BG115" i="4"/>
  <c r="BY114" i="4"/>
  <c r="BW114" i="4"/>
  <c r="BV114" i="4"/>
  <c r="BT114" i="4"/>
  <c r="BS114" i="4"/>
  <c r="BQ114" i="4"/>
  <c r="BG114" i="4"/>
  <c r="BY113" i="4"/>
  <c r="BW113" i="4"/>
  <c r="BV113" i="4"/>
  <c r="BT113" i="4"/>
  <c r="BS113" i="4"/>
  <c r="BE113" i="4"/>
  <c r="BG113" i="4" s="1"/>
  <c r="BY112" i="4"/>
  <c r="BW112" i="4"/>
  <c r="BV112" i="4"/>
  <c r="BT112" i="4"/>
  <c r="BS112" i="4"/>
  <c r="BQ112" i="4"/>
  <c r="BG112" i="4"/>
  <c r="BY111" i="4"/>
  <c r="BW111" i="4"/>
  <c r="BV111" i="4"/>
  <c r="BT111" i="4"/>
  <c r="BS111" i="4"/>
  <c r="BQ111" i="4"/>
  <c r="BG111" i="4"/>
  <c r="BY110" i="4"/>
  <c r="BW110" i="4"/>
  <c r="BV110" i="4"/>
  <c r="BT110" i="4"/>
  <c r="BS110" i="4"/>
  <c r="BQ110" i="4"/>
  <c r="BG110" i="4"/>
  <c r="BY109" i="4"/>
  <c r="BW109" i="4"/>
  <c r="BV109" i="4"/>
  <c r="BT109" i="4"/>
  <c r="BS109" i="4"/>
  <c r="BQ109" i="4"/>
  <c r="BG109" i="4"/>
  <c r="BY108" i="4"/>
  <c r="BW108" i="4"/>
  <c r="BV108" i="4"/>
  <c r="BT108" i="4"/>
  <c r="BS108" i="4"/>
  <c r="BQ108" i="4"/>
  <c r="BG108" i="4"/>
  <c r="BY107" i="4"/>
  <c r="BW107" i="4"/>
  <c r="BV107" i="4"/>
  <c r="BT107" i="4"/>
  <c r="BS107" i="4"/>
  <c r="BQ107" i="4"/>
  <c r="BG107" i="4"/>
  <c r="BY106" i="4"/>
  <c r="BW106" i="4"/>
  <c r="BV106" i="4"/>
  <c r="BT106" i="4"/>
  <c r="BS106" i="4"/>
  <c r="BQ106" i="4"/>
  <c r="BG106" i="4"/>
  <c r="BY105" i="4"/>
  <c r="BW105" i="4"/>
  <c r="BV105" i="4"/>
  <c r="BT105" i="4"/>
  <c r="BS105" i="4"/>
  <c r="BE105" i="4"/>
  <c r="BQ105" i="4" s="1"/>
  <c r="AF105" i="4"/>
  <c r="AE105" i="4"/>
  <c r="BY104" i="4"/>
  <c r="BW104" i="4"/>
  <c r="BV104" i="4"/>
  <c r="BT104" i="4"/>
  <c r="BS104" i="4"/>
  <c r="BQ104" i="4"/>
  <c r="BG104" i="4"/>
  <c r="BY103" i="4"/>
  <c r="BW103" i="4"/>
  <c r="BV103" i="4"/>
  <c r="BT103" i="4"/>
  <c r="BS103" i="4"/>
  <c r="BQ103" i="4"/>
  <c r="BG103" i="4"/>
  <c r="BY102" i="4"/>
  <c r="BW102" i="4"/>
  <c r="BV102" i="4"/>
  <c r="BT102" i="4"/>
  <c r="BS102" i="4"/>
  <c r="BQ102" i="4"/>
  <c r="BG102" i="4"/>
  <c r="BY101" i="4"/>
  <c r="BW101" i="4"/>
  <c r="BV101" i="4"/>
  <c r="BT101" i="4"/>
  <c r="BS101" i="4"/>
  <c r="BQ101" i="4"/>
  <c r="BG101" i="4"/>
  <c r="BY100" i="4"/>
  <c r="BW100" i="4"/>
  <c r="BV100" i="4"/>
  <c r="BT100" i="4"/>
  <c r="BS100" i="4"/>
  <c r="BQ100" i="4"/>
  <c r="AV100" i="4"/>
  <c r="BG100" i="4" s="1"/>
  <c r="AU100" i="4"/>
  <c r="AT100" i="4"/>
  <c r="AL100" i="4"/>
  <c r="AK100" i="4"/>
  <c r="BY99" i="4"/>
  <c r="BW99" i="4"/>
  <c r="BV99" i="4"/>
  <c r="BT99" i="4"/>
  <c r="BS99" i="4"/>
  <c r="BQ99" i="4"/>
  <c r="BG99" i="4"/>
  <c r="AF99" i="4"/>
  <c r="AE99" i="4"/>
  <c r="AB99" i="4"/>
  <c r="AA99" i="4"/>
  <c r="BY98" i="4"/>
  <c r="BW98" i="4"/>
  <c r="BV98" i="4"/>
  <c r="BT98" i="4"/>
  <c r="BS98" i="4"/>
  <c r="BL98" i="4"/>
  <c r="BK98" i="4"/>
  <c r="BE98" i="4"/>
  <c r="BD98" i="4"/>
  <c r="BC98" i="4"/>
  <c r="BB98" i="4"/>
  <c r="BA98" i="4"/>
  <c r="AX98" i="4"/>
  <c r="AV98" i="4"/>
  <c r="AU98" i="4"/>
  <c r="AT98" i="4"/>
  <c r="AL98" i="4"/>
  <c r="AK98" i="4"/>
  <c r="L98" i="4"/>
  <c r="K98" i="4"/>
  <c r="BY97" i="4"/>
  <c r="BW97" i="4"/>
  <c r="BV97" i="4"/>
  <c r="BT97" i="4"/>
  <c r="BS97" i="4"/>
  <c r="BQ97" i="4"/>
  <c r="BG97" i="4"/>
  <c r="BY96" i="4"/>
  <c r="BW96" i="4"/>
  <c r="BV96" i="4"/>
  <c r="BT96" i="4"/>
  <c r="BS96" i="4"/>
  <c r="BQ96" i="4"/>
  <c r="BG96" i="4"/>
  <c r="BY95" i="4"/>
  <c r="BW95" i="4"/>
  <c r="BV95" i="4"/>
  <c r="BT95" i="4"/>
  <c r="BS95" i="4"/>
  <c r="BE95" i="4"/>
  <c r="BD95" i="4"/>
  <c r="BC95" i="4"/>
  <c r="AV95" i="4"/>
  <c r="AU95" i="4"/>
  <c r="AT95" i="4"/>
  <c r="AF95" i="4"/>
  <c r="AE95" i="4"/>
  <c r="H95" i="4"/>
  <c r="BY94" i="4"/>
  <c r="BW94" i="4"/>
  <c r="BV94" i="4"/>
  <c r="BT94" i="4"/>
  <c r="BS94" i="4"/>
  <c r="BQ94" i="4"/>
  <c r="BB94" i="4"/>
  <c r="BA94" i="4"/>
  <c r="AX94" i="4"/>
  <c r="AV94" i="4"/>
  <c r="BG94" i="4" s="1"/>
  <c r="AU94" i="4"/>
  <c r="AT94" i="4"/>
  <c r="AS94" i="4"/>
  <c r="AR94" i="4"/>
  <c r="AF94" i="4"/>
  <c r="AE94" i="4"/>
  <c r="AD94" i="4"/>
  <c r="BY93" i="4"/>
  <c r="BW93" i="4"/>
  <c r="BV93" i="4"/>
  <c r="BT93" i="4"/>
  <c r="BS93" i="4"/>
  <c r="BQ93" i="4"/>
  <c r="BG93" i="4"/>
  <c r="BC93" i="4"/>
  <c r="T93" i="4"/>
  <c r="S93" i="4"/>
  <c r="S90" i="4" s="1"/>
  <c r="R93" i="4"/>
  <c r="R90" i="4" s="1"/>
  <c r="Q93" i="4"/>
  <c r="P93" i="4"/>
  <c r="O93" i="4"/>
  <c r="O90" i="4" s="1"/>
  <c r="N93" i="4"/>
  <c r="N90" i="4" s="1"/>
  <c r="L93" i="4"/>
  <c r="K93" i="4"/>
  <c r="J93" i="4"/>
  <c r="J90" i="4" s="1"/>
  <c r="BY92" i="4"/>
  <c r="BW92" i="4"/>
  <c r="BV92" i="4"/>
  <c r="BT92" i="4"/>
  <c r="BS92" i="4"/>
  <c r="BQ92" i="4"/>
  <c r="BG92" i="4"/>
  <c r="BY91" i="4"/>
  <c r="BW91" i="4"/>
  <c r="BV91" i="4"/>
  <c r="BT91" i="4"/>
  <c r="BS91" i="4"/>
  <c r="BQ91" i="4"/>
  <c r="BG91" i="4"/>
  <c r="BX90" i="4"/>
  <c r="BU90" i="4"/>
  <c r="BR90" i="4"/>
  <c r="BP90" i="4"/>
  <c r="BL90" i="4"/>
  <c r="BK90" i="4"/>
  <c r="BJ90" i="4"/>
  <c r="BJ68" i="4" s="1"/>
  <c r="BJ66" i="4" s="1"/>
  <c r="BI90" i="4"/>
  <c r="BH90" i="4"/>
  <c r="BF90" i="4"/>
  <c r="BE90" i="4"/>
  <c r="BD90" i="4"/>
  <c r="BC90" i="4"/>
  <c r="AZ90" i="4"/>
  <c r="AY90" i="4"/>
  <c r="AX90" i="4"/>
  <c r="AW90" i="4"/>
  <c r="AV90" i="4"/>
  <c r="AU90" i="4"/>
  <c r="AT90" i="4"/>
  <c r="AP90" i="4"/>
  <c r="AO90" i="4"/>
  <c r="AN90" i="4"/>
  <c r="AN68" i="4" s="1"/>
  <c r="AN66" i="4" s="1"/>
  <c r="AM90" i="4"/>
  <c r="AL90" i="4"/>
  <c r="AK90" i="4"/>
  <c r="AJ90" i="4"/>
  <c r="AI90" i="4"/>
  <c r="AH90" i="4"/>
  <c r="AG90" i="4"/>
  <c r="AF90" i="4"/>
  <c r="AF68" i="4" s="1"/>
  <c r="AF66" i="4" s="1"/>
  <c r="AE90" i="4"/>
  <c r="AD90" i="4"/>
  <c r="AC90" i="4"/>
  <c r="AB90" i="4"/>
  <c r="AA90" i="4"/>
  <c r="Z90" i="4"/>
  <c r="Y90" i="4"/>
  <c r="X90" i="4"/>
  <c r="W90" i="4"/>
  <c r="V90" i="4"/>
  <c r="U90" i="4"/>
  <c r="T90" i="4"/>
  <c r="Q90" i="4"/>
  <c r="P90" i="4"/>
  <c r="M90" i="4"/>
  <c r="L90" i="4"/>
  <c r="K90" i="4"/>
  <c r="I90" i="4"/>
  <c r="H90" i="4"/>
  <c r="G90" i="4"/>
  <c r="F90" i="4"/>
  <c r="E90" i="4"/>
  <c r="D90" i="4"/>
  <c r="C90" i="4"/>
  <c r="BY89" i="4"/>
  <c r="BW89" i="4"/>
  <c r="BV89" i="4"/>
  <c r="BT89" i="4"/>
  <c r="BS89" i="4"/>
  <c r="BQ89" i="4"/>
  <c r="BG89" i="4"/>
  <c r="BY88" i="4"/>
  <c r="BW88" i="4"/>
  <c r="BV88" i="4"/>
  <c r="BT88" i="4"/>
  <c r="BS88" i="4"/>
  <c r="BQ88" i="4"/>
  <c r="BG88" i="4"/>
  <c r="AJ88" i="4"/>
  <c r="AJ86" i="4" s="1"/>
  <c r="AI88" i="4"/>
  <c r="AH88" i="4"/>
  <c r="BY87" i="4"/>
  <c r="BW87" i="4"/>
  <c r="BV87" i="4"/>
  <c r="BT87" i="4"/>
  <c r="BS87" i="4"/>
  <c r="BQ87" i="4"/>
  <c r="BG87" i="4"/>
  <c r="BX86" i="4"/>
  <c r="BU86" i="4"/>
  <c r="BR86" i="4"/>
  <c r="BL86" i="4"/>
  <c r="BK86" i="4"/>
  <c r="BJ86" i="4"/>
  <c r="BI86" i="4"/>
  <c r="BH86" i="4"/>
  <c r="BF86" i="4"/>
  <c r="BE86" i="4"/>
  <c r="BQ86" i="4" s="1"/>
  <c r="BB86" i="4"/>
  <c r="BB68" i="4" s="1"/>
  <c r="BB70" i="4" s="1"/>
  <c r="BA86" i="4"/>
  <c r="AZ86" i="4"/>
  <c r="AY86" i="4"/>
  <c r="AX86" i="4"/>
  <c r="AW86" i="4"/>
  <c r="AV86" i="4"/>
  <c r="AU86" i="4"/>
  <c r="AT86" i="4"/>
  <c r="AP86" i="4"/>
  <c r="AO86" i="4"/>
  <c r="AN86" i="4"/>
  <c r="AM86" i="4"/>
  <c r="AL86" i="4"/>
  <c r="AK86" i="4"/>
  <c r="AI86" i="4"/>
  <c r="AH86" i="4"/>
  <c r="AG86" i="4"/>
  <c r="AF86" i="4"/>
  <c r="AE86" i="4"/>
  <c r="AD86" i="4"/>
  <c r="AC86" i="4"/>
  <c r="AB86" i="4"/>
  <c r="AB68" i="4" s="1"/>
  <c r="AB66" i="4" s="1"/>
  <c r="AA86" i="4"/>
  <c r="Z86" i="4"/>
  <c r="Y86" i="4"/>
  <c r="X86" i="4"/>
  <c r="X68" i="4" s="1"/>
  <c r="X66" i="4" s="1"/>
  <c r="W86" i="4"/>
  <c r="V86" i="4"/>
  <c r="U86" i="4"/>
  <c r="T86" i="4"/>
  <c r="T68" i="4" s="1"/>
  <c r="T66" i="4" s="1"/>
  <c r="S86" i="4"/>
  <c r="R86" i="4"/>
  <c r="Q86" i="4"/>
  <c r="P86" i="4"/>
  <c r="O86" i="4"/>
  <c r="N86" i="4"/>
  <c r="M86" i="4"/>
  <c r="L86" i="4"/>
  <c r="L68" i="4" s="1"/>
  <c r="L66" i="4" s="1"/>
  <c r="K86" i="4"/>
  <c r="J86" i="4"/>
  <c r="I86" i="4"/>
  <c r="H86" i="4"/>
  <c r="G86" i="4"/>
  <c r="F86" i="4"/>
  <c r="E86" i="4"/>
  <c r="D86" i="4"/>
  <c r="D68" i="4" s="1"/>
  <c r="D66" i="4" s="1"/>
  <c r="C86" i="4"/>
  <c r="BY85" i="4"/>
  <c r="BW85" i="4"/>
  <c r="BV85" i="4"/>
  <c r="BT85" i="4"/>
  <c r="BP85" i="4"/>
  <c r="BQ85" i="4" s="1"/>
  <c r="BG85" i="4"/>
  <c r="BY84" i="4"/>
  <c r="BW84" i="4"/>
  <c r="BV84" i="4"/>
  <c r="BT84" i="4"/>
  <c r="BS84" i="4"/>
  <c r="BQ84" i="4"/>
  <c r="BG84" i="4"/>
  <c r="BY83" i="4"/>
  <c r="BW83" i="4"/>
  <c r="BV83" i="4"/>
  <c r="BT83" i="4"/>
  <c r="BS83" i="4"/>
  <c r="BQ83" i="4"/>
  <c r="BG83" i="4"/>
  <c r="BY82" i="4"/>
  <c r="BW82" i="4"/>
  <c r="BV82" i="4"/>
  <c r="BT82" i="4"/>
  <c r="BS82" i="4"/>
  <c r="BQ82" i="4"/>
  <c r="BG82" i="4"/>
  <c r="BY81" i="4"/>
  <c r="BW81" i="4"/>
  <c r="BV81" i="4"/>
  <c r="BT81" i="4"/>
  <c r="BS81" i="4"/>
  <c r="BQ81" i="4"/>
  <c r="BG81" i="4"/>
  <c r="F81" i="4"/>
  <c r="BY80" i="4"/>
  <c r="BW80" i="4"/>
  <c r="BV80" i="4"/>
  <c r="BT80" i="4"/>
  <c r="BS80" i="4"/>
  <c r="BQ80" i="4"/>
  <c r="BG80" i="4"/>
  <c r="BY79" i="4"/>
  <c r="BW79" i="4"/>
  <c r="BV79" i="4"/>
  <c r="BT79" i="4"/>
  <c r="BS79" i="4"/>
  <c r="BQ79" i="4"/>
  <c r="BG79" i="4"/>
  <c r="BY78" i="4"/>
  <c r="BW78" i="4"/>
  <c r="BV78" i="4"/>
  <c r="BT78" i="4"/>
  <c r="BS78" i="4"/>
  <c r="BQ78" i="4"/>
  <c r="BL78" i="4"/>
  <c r="BG78" i="4"/>
  <c r="BY77" i="4"/>
  <c r="BW77" i="4"/>
  <c r="BV77" i="4"/>
  <c r="BT77" i="4"/>
  <c r="BS77" i="4"/>
  <c r="BQ77" i="4"/>
  <c r="BG77" i="4"/>
  <c r="BY76" i="4"/>
  <c r="BW76" i="4"/>
  <c r="BV76" i="4"/>
  <c r="BT76" i="4"/>
  <c r="BS76" i="4"/>
  <c r="BQ76" i="4"/>
  <c r="BG76" i="4"/>
  <c r="BY75" i="4"/>
  <c r="BW75" i="4"/>
  <c r="BV75" i="4"/>
  <c r="BT75" i="4"/>
  <c r="BS75" i="4"/>
  <c r="BQ75" i="4"/>
  <c r="BG75" i="4"/>
  <c r="BX74" i="4"/>
  <c r="BU74" i="4"/>
  <c r="BR74" i="4"/>
  <c r="BP74" i="4"/>
  <c r="BQ74" i="4" s="1"/>
  <c r="BL74" i="4"/>
  <c r="BK74" i="4"/>
  <c r="BJ74" i="4"/>
  <c r="BI74" i="4"/>
  <c r="BH74" i="4"/>
  <c r="BF74" i="4"/>
  <c r="BB74" i="4"/>
  <c r="BA74" i="4"/>
  <c r="AZ74" i="4"/>
  <c r="AY74" i="4"/>
  <c r="AX74" i="4"/>
  <c r="AW74" i="4"/>
  <c r="AV74" i="4"/>
  <c r="BG74" i="4" s="1"/>
  <c r="AU74" i="4"/>
  <c r="AT74" i="4"/>
  <c r="AP74" i="4"/>
  <c r="AO74" i="4"/>
  <c r="AN74" i="4"/>
  <c r="AM74" i="4"/>
  <c r="AL74" i="4"/>
  <c r="AK74" i="4"/>
  <c r="AK68" i="4" s="1"/>
  <c r="AK66" i="4" s="1"/>
  <c r="I74" i="4"/>
  <c r="H74" i="4"/>
  <c r="G74" i="4"/>
  <c r="F74" i="4"/>
  <c r="E74" i="4"/>
  <c r="D74" i="4"/>
  <c r="C74" i="4"/>
  <c r="BY73" i="4"/>
  <c r="BW73" i="4"/>
  <c r="BV73" i="4"/>
  <c r="BT73" i="4"/>
  <c r="BS73" i="4"/>
  <c r="BQ73" i="4"/>
  <c r="BG73" i="4"/>
  <c r="Q73" i="4"/>
  <c r="P73" i="4"/>
  <c r="P71" i="4" s="1"/>
  <c r="P68" i="4" s="1"/>
  <c r="P66" i="4" s="1"/>
  <c r="BY72" i="4"/>
  <c r="BW72" i="4"/>
  <c r="BV72" i="4"/>
  <c r="BT72" i="4"/>
  <c r="BS72" i="4"/>
  <c r="BQ72" i="4"/>
  <c r="BG72" i="4"/>
  <c r="BX71" i="4"/>
  <c r="BX68" i="4" s="1"/>
  <c r="BU71" i="4"/>
  <c r="BR71" i="4"/>
  <c r="BP71" i="4"/>
  <c r="BL71" i="4"/>
  <c r="BL68" i="4" s="1"/>
  <c r="BK71" i="4"/>
  <c r="BK68" i="4" s="1"/>
  <c r="BJ71" i="4"/>
  <c r="BI71" i="4"/>
  <c r="BH71" i="4"/>
  <c r="BH68" i="4" s="1"/>
  <c r="BF71" i="4"/>
  <c r="BF68" i="4" s="1"/>
  <c r="AZ71" i="4"/>
  <c r="AY71" i="4"/>
  <c r="AX71" i="4"/>
  <c r="AX68" i="4" s="1"/>
  <c r="AW71" i="4"/>
  <c r="AW68" i="4" s="1"/>
  <c r="AV71" i="4"/>
  <c r="AU71" i="4"/>
  <c r="AT71" i="4"/>
  <c r="AT68" i="4" s="1"/>
  <c r="AT66" i="4" s="1"/>
  <c r="AP71" i="4"/>
  <c r="AP68" i="4" s="1"/>
  <c r="AO71" i="4"/>
  <c r="AN71" i="4"/>
  <c r="AM71" i="4"/>
  <c r="AM68" i="4" s="1"/>
  <c r="AM66" i="4" s="1"/>
  <c r="AL71" i="4"/>
  <c r="AL68" i="4" s="1"/>
  <c r="AL66" i="4" s="1"/>
  <c r="AK71" i="4"/>
  <c r="AJ71" i="4"/>
  <c r="AI71" i="4"/>
  <c r="AI68" i="4" s="1"/>
  <c r="AI66" i="4" s="1"/>
  <c r="AH71" i="4"/>
  <c r="AH68" i="4" s="1"/>
  <c r="AG71" i="4"/>
  <c r="AF71" i="4"/>
  <c r="AE71" i="4"/>
  <c r="AE68" i="4" s="1"/>
  <c r="AE66" i="4" s="1"/>
  <c r="AD71" i="4"/>
  <c r="AD68" i="4" s="1"/>
  <c r="AD66" i="4" s="1"/>
  <c r="AC71" i="4"/>
  <c r="AB71" i="4"/>
  <c r="AA71" i="4"/>
  <c r="AA68" i="4" s="1"/>
  <c r="AA66" i="4" s="1"/>
  <c r="Z71" i="4"/>
  <c r="Z68" i="4" s="1"/>
  <c r="Y71" i="4"/>
  <c r="X71" i="4"/>
  <c r="W71" i="4"/>
  <c r="W68" i="4" s="1"/>
  <c r="W66" i="4" s="1"/>
  <c r="V71" i="4"/>
  <c r="V68" i="4" s="1"/>
  <c r="V66" i="4" s="1"/>
  <c r="U71" i="4"/>
  <c r="T71" i="4"/>
  <c r="S71" i="4"/>
  <c r="S68" i="4" s="1"/>
  <c r="S66" i="4" s="1"/>
  <c r="R71" i="4"/>
  <c r="Q71" i="4"/>
  <c r="O71" i="4"/>
  <c r="N71" i="4"/>
  <c r="N68" i="4" s="1"/>
  <c r="N66" i="4" s="1"/>
  <c r="M71" i="4"/>
  <c r="M68" i="4" s="1"/>
  <c r="M66" i="4" s="1"/>
  <c r="L71" i="4"/>
  <c r="K71" i="4"/>
  <c r="J71" i="4"/>
  <c r="J68" i="4" s="1"/>
  <c r="J66" i="4" s="1"/>
  <c r="I71" i="4"/>
  <c r="I68" i="4" s="1"/>
  <c r="H71" i="4"/>
  <c r="G71" i="4"/>
  <c r="F71" i="4"/>
  <c r="F68" i="4" s="1"/>
  <c r="F66" i="4" s="1"/>
  <c r="E71" i="4"/>
  <c r="E68" i="4" s="1"/>
  <c r="E66" i="4" s="1"/>
  <c r="D71" i="4"/>
  <c r="C71" i="4"/>
  <c r="BY70" i="4"/>
  <c r="BW70" i="4"/>
  <c r="BQ70" i="4"/>
  <c r="BO70" i="4"/>
  <c r="BK70" i="4"/>
  <c r="BG70" i="4"/>
  <c r="BY69" i="4"/>
  <c r="BW69" i="4"/>
  <c r="BV69" i="4"/>
  <c r="BT69" i="4"/>
  <c r="BS69" i="4"/>
  <c r="BQ69" i="4"/>
  <c r="BG69" i="4"/>
  <c r="BU68" i="4"/>
  <c r="BU66" i="4" s="1"/>
  <c r="BP68" i="4"/>
  <c r="BO68" i="4"/>
  <c r="BN70" i="4" s="1"/>
  <c r="BN68" i="4"/>
  <c r="BN66" i="4" s="1"/>
  <c r="BM68" i="4"/>
  <c r="BI68" i="4"/>
  <c r="BI66" i="4" s="1"/>
  <c r="BE68" i="4"/>
  <c r="BE66" i="4" s="1"/>
  <c r="BD68" i="4"/>
  <c r="BC68" i="4"/>
  <c r="BC70" i="4" s="1"/>
  <c r="BA68" i="4"/>
  <c r="BA70" i="4" s="1"/>
  <c r="AY68" i="4"/>
  <c r="AY66" i="4" s="1"/>
  <c r="AS68" i="4"/>
  <c r="AS66" i="4" s="1"/>
  <c r="AR68" i="4"/>
  <c r="AR66" i="4" s="1"/>
  <c r="AQ68" i="4"/>
  <c r="AO68" i="4"/>
  <c r="AO66" i="4" s="1"/>
  <c r="AJ68" i="4"/>
  <c r="AJ66" i="4" s="1"/>
  <c r="AG68" i="4"/>
  <c r="AG66" i="4" s="1"/>
  <c r="AC68" i="4"/>
  <c r="Y68" i="4"/>
  <c r="Y66" i="4" s="1"/>
  <c r="U68" i="4"/>
  <c r="Q68" i="4"/>
  <c r="Q66" i="4" s="1"/>
  <c r="O68" i="4"/>
  <c r="O66" i="4" s="1"/>
  <c r="K68" i="4"/>
  <c r="K66" i="4" s="1"/>
  <c r="H68" i="4"/>
  <c r="H66" i="4" s="1"/>
  <c r="G68" i="4"/>
  <c r="G66" i="4" s="1"/>
  <c r="C68" i="4"/>
  <c r="BO66" i="4"/>
  <c r="BK66" i="4"/>
  <c r="BF66" i="4"/>
  <c r="BC66" i="4"/>
  <c r="BB66" i="4"/>
  <c r="BA66" i="4"/>
  <c r="AQ66" i="4"/>
  <c r="AP66" i="4"/>
  <c r="AH66" i="4"/>
  <c r="Z66" i="4"/>
  <c r="I66" i="4"/>
  <c r="BY65" i="4"/>
  <c r="BW65" i="4"/>
  <c r="BV65" i="4"/>
  <c r="BT65" i="4"/>
  <c r="BS65" i="4"/>
  <c r="BQ65" i="4"/>
  <c r="BG65" i="4"/>
  <c r="BP64" i="4"/>
  <c r="BQ64" i="4" s="1"/>
  <c r="BG64" i="4"/>
  <c r="BF64" i="4"/>
  <c r="AM64" i="4"/>
  <c r="Y64" i="4"/>
  <c r="X64" i="4"/>
  <c r="U64" i="4"/>
  <c r="T64" i="4"/>
  <c r="Q64" i="4"/>
  <c r="P64" i="4"/>
  <c r="M64" i="4"/>
  <c r="L64" i="4"/>
  <c r="BY63" i="4"/>
  <c r="BW63" i="4"/>
  <c r="BV63" i="4"/>
  <c r="BT63" i="4"/>
  <c r="BS63" i="4"/>
  <c r="BQ63" i="4"/>
  <c r="BG63" i="4"/>
  <c r="BY62" i="4"/>
  <c r="BW62" i="4"/>
  <c r="BV62" i="4"/>
  <c r="BT62" i="4"/>
  <c r="BS62" i="4"/>
  <c r="BQ62" i="4"/>
  <c r="BG62" i="4"/>
  <c r="BY61" i="4"/>
  <c r="BW61" i="4"/>
  <c r="BV61" i="4"/>
  <c r="BT61" i="4"/>
  <c r="BS61" i="4"/>
  <c r="BQ61" i="4"/>
  <c r="BG61" i="4"/>
  <c r="BY60" i="4"/>
  <c r="BW60" i="4"/>
  <c r="BV60" i="4"/>
  <c r="BT60" i="4"/>
  <c r="BS60" i="4"/>
  <c r="BQ60" i="4"/>
  <c r="BY59" i="4"/>
  <c r="BW59" i="4"/>
  <c r="BV59" i="4"/>
  <c r="BT59" i="4"/>
  <c r="BS59" i="4"/>
  <c r="BQ59" i="4"/>
  <c r="BG59" i="4"/>
  <c r="BY58" i="4"/>
  <c r="BW58" i="4"/>
  <c r="BV58" i="4"/>
  <c r="BT58" i="4"/>
  <c r="BS58" i="4"/>
  <c r="BQ58" i="4"/>
  <c r="BG58" i="4"/>
  <c r="BY57" i="4"/>
  <c r="BW57" i="4"/>
  <c r="BV57" i="4"/>
  <c r="BT57" i="4"/>
  <c r="BS57" i="4"/>
  <c r="BQ57" i="4"/>
  <c r="BG57" i="4"/>
  <c r="BY56" i="4"/>
  <c r="BW56" i="4"/>
  <c r="BV56" i="4"/>
  <c r="BT56" i="4"/>
  <c r="BS56" i="4"/>
  <c r="BQ56" i="4"/>
  <c r="BG56" i="4"/>
  <c r="BP55" i="4"/>
  <c r="BL55" i="4"/>
  <c r="BK55" i="4"/>
  <c r="BJ55" i="4"/>
  <c r="BI55" i="4"/>
  <c r="BH55" i="4"/>
  <c r="BF55" i="4"/>
  <c r="BE55" i="4"/>
  <c r="BD55" i="4"/>
  <c r="AZ55" i="4"/>
  <c r="AY55" i="4"/>
  <c r="AX55" i="4"/>
  <c r="AW55" i="4"/>
  <c r="AV55" i="4"/>
  <c r="AU55" i="4"/>
  <c r="AT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Y54" i="4"/>
  <c r="BW54" i="4"/>
  <c r="BV54" i="4"/>
  <c r="BT54" i="4"/>
  <c r="BS54" i="4"/>
  <c r="BQ54" i="4"/>
  <c r="BG54" i="4"/>
  <c r="BY53" i="4"/>
  <c r="BW53" i="4"/>
  <c r="BV53" i="4"/>
  <c r="BT53" i="4"/>
  <c r="BS53" i="4"/>
  <c r="BQ53" i="4"/>
  <c r="BG53" i="4"/>
  <c r="BY52" i="4"/>
  <c r="BW52" i="4"/>
  <c r="BV52" i="4"/>
  <c r="BT52" i="4"/>
  <c r="BS52" i="4"/>
  <c r="BQ52" i="4"/>
  <c r="BG52" i="4"/>
  <c r="BY51" i="4"/>
  <c r="BW51" i="4"/>
  <c r="BV51" i="4"/>
  <c r="BT51" i="4"/>
  <c r="BS51" i="4"/>
  <c r="BQ51" i="4"/>
  <c r="BG51" i="4"/>
  <c r="U51" i="4"/>
  <c r="BX50" i="4"/>
  <c r="BU50" i="4"/>
  <c r="BS50" i="4"/>
  <c r="BR50" i="4"/>
  <c r="BQ50" i="4"/>
  <c r="BP50" i="4"/>
  <c r="BL50" i="4"/>
  <c r="BL37" i="4" s="1"/>
  <c r="BK50" i="4"/>
  <c r="BJ50" i="4"/>
  <c r="BI50" i="4"/>
  <c r="BH50" i="4"/>
  <c r="AZ50" i="4"/>
  <c r="AY50" i="4"/>
  <c r="AX50" i="4"/>
  <c r="AV50" i="4"/>
  <c r="BG50" i="4" s="1"/>
  <c r="AU50" i="4"/>
  <c r="AT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O50" i="4"/>
  <c r="N50" i="4"/>
  <c r="M50" i="4"/>
  <c r="L50" i="4"/>
  <c r="L37" i="4" s="1"/>
  <c r="K50" i="4"/>
  <c r="J50" i="4"/>
  <c r="I50" i="4"/>
  <c r="H50" i="4"/>
  <c r="H37" i="4" s="1"/>
  <c r="G50" i="4"/>
  <c r="F50" i="4"/>
  <c r="E50" i="4"/>
  <c r="D50" i="4"/>
  <c r="D37" i="4" s="1"/>
  <c r="C50" i="4"/>
  <c r="BY49" i="4"/>
  <c r="BW49" i="4"/>
  <c r="BV49" i="4"/>
  <c r="BT49" i="4"/>
  <c r="BS49" i="4"/>
  <c r="BQ49" i="4"/>
  <c r="BG49" i="4"/>
  <c r="BY48" i="4"/>
  <c r="BW48" i="4"/>
  <c r="BV48" i="4"/>
  <c r="BT48" i="4"/>
  <c r="BS48" i="4"/>
  <c r="BQ48" i="4"/>
  <c r="BG48" i="4"/>
  <c r="BY47" i="4"/>
  <c r="BW47" i="4"/>
  <c r="BV47" i="4"/>
  <c r="BT47" i="4"/>
  <c r="BS47" i="4"/>
  <c r="BQ47" i="4"/>
  <c r="BG47" i="4"/>
  <c r="BX46" i="4"/>
  <c r="BU46" i="4"/>
  <c r="BR46" i="4"/>
  <c r="BP46" i="4"/>
  <c r="BL46" i="4"/>
  <c r="BK46" i="4"/>
  <c r="BJ46" i="4"/>
  <c r="BI46" i="4"/>
  <c r="BH46" i="4"/>
  <c r="BF46" i="4"/>
  <c r="BE46" i="4"/>
  <c r="AZ46" i="4"/>
  <c r="AY46" i="4"/>
  <c r="AX46" i="4"/>
  <c r="AW46" i="4"/>
  <c r="AW37" i="4" s="1"/>
  <c r="AV46" i="4"/>
  <c r="AU46" i="4"/>
  <c r="AT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Y45" i="4"/>
  <c r="BW45" i="4"/>
  <c r="BV45" i="4"/>
  <c r="BT45" i="4"/>
  <c r="BS45" i="4"/>
  <c r="BQ45" i="4"/>
  <c r="BG45" i="4"/>
  <c r="BY44" i="4"/>
  <c r="BW44" i="4"/>
  <c r="BV44" i="4"/>
  <c r="BT44" i="4"/>
  <c r="BS44" i="4"/>
  <c r="BQ44" i="4"/>
  <c r="BG44" i="4"/>
  <c r="AC44" i="4"/>
  <c r="U44" i="4"/>
  <c r="BY43" i="4"/>
  <c r="BW43" i="4"/>
  <c r="BV43" i="4"/>
  <c r="BT43" i="4"/>
  <c r="BS43" i="4"/>
  <c r="BQ43" i="4"/>
  <c r="BG43" i="4"/>
  <c r="BY42" i="4"/>
  <c r="BW42" i="4"/>
  <c r="BV42" i="4"/>
  <c r="BT42" i="4"/>
  <c r="BS42" i="4"/>
  <c r="BQ42" i="4"/>
  <c r="BG42" i="4"/>
  <c r="AG42" i="4"/>
  <c r="BY41" i="4"/>
  <c r="BW41" i="4"/>
  <c r="BV41" i="4"/>
  <c r="BT41" i="4"/>
  <c r="BS41" i="4"/>
  <c r="BQ41" i="4"/>
  <c r="BG41" i="4"/>
  <c r="BY40" i="4"/>
  <c r="BW40" i="4"/>
  <c r="BV40" i="4"/>
  <c r="BT40" i="4"/>
  <c r="BS40" i="4"/>
  <c r="BQ40" i="4"/>
  <c r="BG40" i="4"/>
  <c r="BX39" i="4"/>
  <c r="BY39" i="4" s="1"/>
  <c r="BU39" i="4"/>
  <c r="BR39" i="4"/>
  <c r="BS39" i="4" s="1"/>
  <c r="BP39" i="4"/>
  <c r="BO39" i="4"/>
  <c r="BO37" i="4" s="1"/>
  <c r="BL39" i="4"/>
  <c r="BK39" i="4"/>
  <c r="BK37" i="4" s="1"/>
  <c r="BJ39" i="4"/>
  <c r="BI39" i="4"/>
  <c r="BH39" i="4"/>
  <c r="BF39" i="4"/>
  <c r="BF37" i="4" s="1"/>
  <c r="BE39" i="4"/>
  <c r="BE37" i="4" s="1"/>
  <c r="BD39" i="4"/>
  <c r="BC39" i="4"/>
  <c r="AZ39" i="4"/>
  <c r="AZ37" i="4" s="1"/>
  <c r="AY39" i="4"/>
  <c r="AY37" i="4" s="1"/>
  <c r="AX39" i="4"/>
  <c r="AW39" i="4"/>
  <c r="AV39" i="4"/>
  <c r="AV37" i="4" s="1"/>
  <c r="AU39" i="4"/>
  <c r="AT39" i="4"/>
  <c r="AP39" i="4"/>
  <c r="AO39" i="4"/>
  <c r="AN39" i="4"/>
  <c r="AN37" i="4" s="1"/>
  <c r="AM39" i="4"/>
  <c r="AM37" i="4" s="1"/>
  <c r="AL39" i="4"/>
  <c r="AK39" i="4"/>
  <c r="AJ39" i="4"/>
  <c r="AJ37" i="4" s="1"/>
  <c r="AI39" i="4"/>
  <c r="AI37" i="4" s="1"/>
  <c r="AH39" i="4"/>
  <c r="AG39" i="4"/>
  <c r="AF39" i="4"/>
  <c r="AF37" i="4" s="1"/>
  <c r="AE39" i="4"/>
  <c r="AE37" i="4" s="1"/>
  <c r="AD39" i="4"/>
  <c r="AC39" i="4"/>
  <c r="AB39" i="4"/>
  <c r="AB37" i="4" s="1"/>
  <c r="AA39" i="4"/>
  <c r="AA37" i="4" s="1"/>
  <c r="Z39" i="4"/>
  <c r="Y39" i="4"/>
  <c r="Y7" i="4" s="1"/>
  <c r="X39" i="4"/>
  <c r="X37" i="4" s="1"/>
  <c r="W39" i="4"/>
  <c r="W37" i="4" s="1"/>
  <c r="V39" i="4"/>
  <c r="U39" i="4"/>
  <c r="T39" i="4"/>
  <c r="T37" i="4" s="1"/>
  <c r="S39" i="4"/>
  <c r="S37" i="4" s="1"/>
  <c r="R39" i="4"/>
  <c r="Q39" i="4"/>
  <c r="P39" i="4"/>
  <c r="P37" i="4" s="1"/>
  <c r="O39" i="4"/>
  <c r="N39" i="4"/>
  <c r="M39" i="4"/>
  <c r="M37" i="4" s="1"/>
  <c r="L39" i="4"/>
  <c r="K39" i="4"/>
  <c r="J39" i="4"/>
  <c r="I39" i="4"/>
  <c r="I37" i="4" s="1"/>
  <c r="H39" i="4"/>
  <c r="G39" i="4"/>
  <c r="F39" i="4"/>
  <c r="E39" i="4"/>
  <c r="D39" i="4"/>
  <c r="C39" i="4"/>
  <c r="BP37" i="4"/>
  <c r="BN37" i="4"/>
  <c r="BM37" i="4"/>
  <c r="BJ37" i="4"/>
  <c r="BH37" i="4"/>
  <c r="BC37" i="4"/>
  <c r="BB37" i="4"/>
  <c r="BA37" i="4"/>
  <c r="AU37" i="4"/>
  <c r="AS37" i="4"/>
  <c r="AR37" i="4"/>
  <c r="AQ37" i="4"/>
  <c r="AP37" i="4"/>
  <c r="AO37" i="4"/>
  <c r="AL37" i="4"/>
  <c r="AK37" i="4"/>
  <c r="AH37" i="4"/>
  <c r="AG37" i="4"/>
  <c r="AD37" i="4"/>
  <c r="AC37" i="4"/>
  <c r="Z37" i="4"/>
  <c r="Y37" i="4"/>
  <c r="V37" i="4"/>
  <c r="U37" i="4"/>
  <c r="R37" i="4"/>
  <c r="Q37" i="4"/>
  <c r="E37" i="4"/>
  <c r="BY36" i="4"/>
  <c r="BW36" i="4"/>
  <c r="BV36" i="4"/>
  <c r="BT36" i="4"/>
  <c r="BS36" i="4"/>
  <c r="BQ36" i="4"/>
  <c r="BG36" i="4"/>
  <c r="BY35" i="4"/>
  <c r="BW35" i="4"/>
  <c r="BV35" i="4"/>
  <c r="BT35" i="4"/>
  <c r="BS35" i="4"/>
  <c r="BQ35" i="4"/>
  <c r="BG35" i="4"/>
  <c r="BX34" i="4"/>
  <c r="BU34" i="4"/>
  <c r="BW34" i="4" s="1"/>
  <c r="BR34" i="4"/>
  <c r="BP34" i="4"/>
  <c r="BL34" i="4"/>
  <c r="BK34" i="4"/>
  <c r="BJ34" i="4"/>
  <c r="BI34" i="4"/>
  <c r="BH34" i="4"/>
  <c r="BF34" i="4"/>
  <c r="BE34" i="4"/>
  <c r="AZ34" i="4"/>
  <c r="AY34" i="4"/>
  <c r="AX34" i="4"/>
  <c r="AW34" i="4"/>
  <c r="AV34" i="4"/>
  <c r="AU34" i="4"/>
  <c r="AT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Y33" i="4"/>
  <c r="BW33" i="4"/>
  <c r="BV33" i="4"/>
  <c r="BT33" i="4"/>
  <c r="BS33" i="4"/>
  <c r="BQ33" i="4"/>
  <c r="BG33" i="4"/>
  <c r="BY32" i="4"/>
  <c r="BW32" i="4"/>
  <c r="BV32" i="4"/>
  <c r="BT32" i="4"/>
  <c r="BS32" i="4"/>
  <c r="BQ32" i="4"/>
  <c r="AV32" i="4"/>
  <c r="BG32" i="4" s="1"/>
  <c r="AB32" i="4"/>
  <c r="AB29" i="4" s="1"/>
  <c r="T32" i="4"/>
  <c r="Q32" i="4"/>
  <c r="P32" i="4"/>
  <c r="M32" i="4"/>
  <c r="L32" i="4"/>
  <c r="I32" i="4"/>
  <c r="F32" i="4"/>
  <c r="BY31" i="4"/>
  <c r="BW31" i="4"/>
  <c r="BV31" i="4"/>
  <c r="BT31" i="4"/>
  <c r="BS31" i="4"/>
  <c r="BQ31" i="4"/>
  <c r="BG31" i="4"/>
  <c r="BY30" i="4"/>
  <c r="BW30" i="4"/>
  <c r="BV30" i="4"/>
  <c r="BT30" i="4"/>
  <c r="BS30" i="4"/>
  <c r="BQ30" i="4"/>
  <c r="BG30" i="4"/>
  <c r="AV30" i="4"/>
  <c r="AB30" i="4"/>
  <c r="T30" i="4"/>
  <c r="Q30" i="4"/>
  <c r="Q29" i="4" s="1"/>
  <c r="Q22" i="4" s="1"/>
  <c r="P30" i="4"/>
  <c r="L30" i="4"/>
  <c r="I30" i="4"/>
  <c r="I29" i="4" s="1"/>
  <c r="I22" i="4" s="1"/>
  <c r="F30" i="4"/>
  <c r="F29" i="4" s="1"/>
  <c r="BX29" i="4"/>
  <c r="BU29" i="4"/>
  <c r="BR29" i="4"/>
  <c r="BP29" i="4"/>
  <c r="BQ29" i="4" s="1"/>
  <c r="BL29" i="4"/>
  <c r="BK29" i="4"/>
  <c r="BJ29" i="4"/>
  <c r="BI29" i="4"/>
  <c r="BH29" i="4"/>
  <c r="BF29" i="4"/>
  <c r="BE29" i="4"/>
  <c r="BD29" i="4"/>
  <c r="BC29" i="4"/>
  <c r="AZ29" i="4"/>
  <c r="AY29" i="4"/>
  <c r="AX29" i="4"/>
  <c r="AW29" i="4"/>
  <c r="AU29" i="4"/>
  <c r="AT29" i="4"/>
  <c r="AP29" i="4"/>
  <c r="AP22" i="4" s="1"/>
  <c r="AO29" i="4"/>
  <c r="AN29" i="4"/>
  <c r="AM29" i="4"/>
  <c r="AL29" i="4"/>
  <c r="AK29" i="4"/>
  <c r="AJ29" i="4"/>
  <c r="AI29" i="4"/>
  <c r="AH29" i="4"/>
  <c r="AH22" i="4" s="1"/>
  <c r="AH7" i="4" s="1"/>
  <c r="AG29" i="4"/>
  <c r="AF29" i="4"/>
  <c r="AE29" i="4"/>
  <c r="AD29" i="4"/>
  <c r="AD22" i="4" s="1"/>
  <c r="AC29" i="4"/>
  <c r="AA29" i="4"/>
  <c r="Z29" i="4"/>
  <c r="Y29" i="4"/>
  <c r="X29" i="4"/>
  <c r="W29" i="4"/>
  <c r="V29" i="4"/>
  <c r="U29" i="4"/>
  <c r="S29" i="4"/>
  <c r="S22" i="4" s="1"/>
  <c r="S7" i="4" s="1"/>
  <c r="R29" i="4"/>
  <c r="O29" i="4"/>
  <c r="N29" i="4"/>
  <c r="M29" i="4"/>
  <c r="M22" i="4" s="1"/>
  <c r="K29" i="4"/>
  <c r="J29" i="4"/>
  <c r="H29" i="4"/>
  <c r="G29" i="4"/>
  <c r="E29" i="4"/>
  <c r="D29" i="4"/>
  <c r="C29" i="4"/>
  <c r="C22" i="4" s="1"/>
  <c r="BY28" i="4"/>
  <c r="BW28" i="4"/>
  <c r="BV28" i="4"/>
  <c r="BT28" i="4"/>
  <c r="BS28" i="4"/>
  <c r="BQ28" i="4"/>
  <c r="AV28" i="4"/>
  <c r="BG28" i="4" s="1"/>
  <c r="BY27" i="4"/>
  <c r="BW27" i="4"/>
  <c r="BV27" i="4"/>
  <c r="BT27" i="4"/>
  <c r="BS27" i="4"/>
  <c r="BQ27" i="4"/>
  <c r="AV27" i="4"/>
  <c r="BX26" i="4"/>
  <c r="BU26" i="4"/>
  <c r="BY26" i="4" s="1"/>
  <c r="BR26" i="4"/>
  <c r="BL26" i="4"/>
  <c r="BK26" i="4"/>
  <c r="BJ26" i="4"/>
  <c r="BI26" i="4"/>
  <c r="BH26" i="4"/>
  <c r="BF26" i="4"/>
  <c r="BE26" i="4"/>
  <c r="BQ26" i="4" s="1"/>
  <c r="BD26" i="4"/>
  <c r="BC26" i="4"/>
  <c r="BA26" i="4"/>
  <c r="AZ26" i="4"/>
  <c r="AY26" i="4"/>
  <c r="AX26" i="4"/>
  <c r="AW26" i="4"/>
  <c r="AU26" i="4"/>
  <c r="AT26" i="4"/>
  <c r="AS26" i="4"/>
  <c r="AM26" i="4"/>
  <c r="AL26" i="4"/>
  <c r="AK26" i="4"/>
  <c r="BY25" i="4"/>
  <c r="BW25" i="4"/>
  <c r="BV25" i="4"/>
  <c r="BT25" i="4"/>
  <c r="BS25" i="4"/>
  <c r="BQ25" i="4"/>
  <c r="BG25" i="4"/>
  <c r="BY24" i="4"/>
  <c r="BW24" i="4"/>
  <c r="BV24" i="4"/>
  <c r="BT24" i="4"/>
  <c r="BS24" i="4"/>
  <c r="BQ24" i="4"/>
  <c r="AV24" i="4"/>
  <c r="BG24" i="4" s="1"/>
  <c r="AB24" i="4"/>
  <c r="AB23" i="4" s="1"/>
  <c r="T24" i="4"/>
  <c r="T23" i="4" s="1"/>
  <c r="Q24" i="4"/>
  <c r="P24" i="4"/>
  <c r="M24" i="4"/>
  <c r="M23" i="4" s="1"/>
  <c r="L24" i="4"/>
  <c r="L23" i="4" s="1"/>
  <c r="I24" i="4"/>
  <c r="F24" i="4"/>
  <c r="BX23" i="4"/>
  <c r="BX22" i="4" s="1"/>
  <c r="BU23" i="4"/>
  <c r="BY23" i="4" s="1"/>
  <c r="BR23" i="4"/>
  <c r="BP23" i="4"/>
  <c r="BL23" i="4"/>
  <c r="BL22" i="4" s="1"/>
  <c r="BK23" i="4"/>
  <c r="BJ23" i="4"/>
  <c r="BI23" i="4"/>
  <c r="BH23" i="4"/>
  <c r="BF23" i="4"/>
  <c r="BE23" i="4"/>
  <c r="BD23" i="4"/>
  <c r="BC23" i="4"/>
  <c r="BB23" i="4"/>
  <c r="BB22" i="4" s="1"/>
  <c r="BB7" i="4" s="1"/>
  <c r="BA23" i="4"/>
  <c r="AZ23" i="4"/>
  <c r="AY23" i="4"/>
  <c r="AX23" i="4"/>
  <c r="AW23" i="4"/>
  <c r="AV23" i="4"/>
  <c r="AU23" i="4"/>
  <c r="AT23" i="4"/>
  <c r="AT22" i="4" s="1"/>
  <c r="AP23" i="4"/>
  <c r="AO23" i="4"/>
  <c r="AO22" i="4" s="1"/>
  <c r="AN23" i="4"/>
  <c r="AM23" i="4"/>
  <c r="AM22" i="4" s="1"/>
  <c r="AL23" i="4"/>
  <c r="AK23" i="4"/>
  <c r="AJ23" i="4"/>
  <c r="AI23" i="4"/>
  <c r="AH23" i="4"/>
  <c r="AG23" i="4"/>
  <c r="AG22" i="4" s="1"/>
  <c r="AF23" i="4"/>
  <c r="AE23" i="4"/>
  <c r="AD23" i="4"/>
  <c r="AC23" i="4"/>
  <c r="AA23" i="4"/>
  <c r="Z23" i="4"/>
  <c r="Y23" i="4"/>
  <c r="X23" i="4"/>
  <c r="W23" i="4"/>
  <c r="V23" i="4"/>
  <c r="U23" i="4"/>
  <c r="S23" i="4"/>
  <c r="R23" i="4"/>
  <c r="Q23" i="4"/>
  <c r="P23" i="4"/>
  <c r="O23" i="4"/>
  <c r="O22" i="4" s="1"/>
  <c r="N23" i="4"/>
  <c r="N22" i="4" s="1"/>
  <c r="K23" i="4"/>
  <c r="J23" i="4"/>
  <c r="J22" i="4" s="1"/>
  <c r="I23" i="4"/>
  <c r="H23" i="4"/>
  <c r="G23" i="4"/>
  <c r="F23" i="4"/>
  <c r="E23" i="4"/>
  <c r="D23" i="4"/>
  <c r="D22" i="4" s="1"/>
  <c r="C23" i="4"/>
  <c r="BO22" i="4"/>
  <c r="BJ22" i="4"/>
  <c r="BJ7" i="4" s="1"/>
  <c r="BH22" i="4"/>
  <c r="AC22" i="4"/>
  <c r="AA22" i="4"/>
  <c r="Y22" i="4"/>
  <c r="X22" i="4"/>
  <c r="W22" i="4"/>
  <c r="U22" i="4"/>
  <c r="K22" i="4"/>
  <c r="K7" i="4" s="1"/>
  <c r="E22" i="4"/>
  <c r="BY21" i="4"/>
  <c r="BW21" i="4"/>
  <c r="BV21" i="4"/>
  <c r="BT21" i="4"/>
  <c r="BS21" i="4"/>
  <c r="BQ21" i="4"/>
  <c r="AV21" i="4"/>
  <c r="BG21" i="4" s="1"/>
  <c r="AC21" i="4"/>
  <c r="AB21" i="4"/>
  <c r="T21" i="4"/>
  <c r="M21" i="4"/>
  <c r="L21" i="4"/>
  <c r="BY20" i="4"/>
  <c r="BW20" i="4"/>
  <c r="BV20" i="4"/>
  <c r="BT20" i="4"/>
  <c r="BS20" i="4"/>
  <c r="BQ20" i="4"/>
  <c r="BG20" i="4"/>
  <c r="BY19" i="4"/>
  <c r="BW19" i="4"/>
  <c r="BV19" i="4"/>
  <c r="BT19" i="4"/>
  <c r="BS19" i="4"/>
  <c r="BQ19" i="4"/>
  <c r="BG19" i="4"/>
  <c r="BY18" i="4"/>
  <c r="BW18" i="4"/>
  <c r="BV18" i="4"/>
  <c r="BT18" i="4"/>
  <c r="BS18" i="4"/>
  <c r="BQ18" i="4"/>
  <c r="BG18" i="4"/>
  <c r="BY17" i="4"/>
  <c r="BW17" i="4"/>
  <c r="BV17" i="4"/>
  <c r="BT17" i="4"/>
  <c r="BS17" i="4"/>
  <c r="BQ17" i="4"/>
  <c r="BG17" i="4"/>
  <c r="BX16" i="4"/>
  <c r="BU16" i="4"/>
  <c r="BY16" i="4" s="1"/>
  <c r="BR16" i="4"/>
  <c r="BL16" i="4"/>
  <c r="BK16" i="4"/>
  <c r="BJ16" i="4"/>
  <c r="BI16" i="4"/>
  <c r="BH16" i="4"/>
  <c r="BF16" i="4"/>
  <c r="BE16" i="4"/>
  <c r="BQ16" i="4" s="1"/>
  <c r="BD16" i="4"/>
  <c r="BC16" i="4"/>
  <c r="AZ16" i="4"/>
  <c r="AY16" i="4"/>
  <c r="AX16" i="4"/>
  <c r="AW16" i="4"/>
  <c r="AV16" i="4"/>
  <c r="AU16" i="4"/>
  <c r="AT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BY15" i="4"/>
  <c r="BW15" i="4"/>
  <c r="BV15" i="4"/>
  <c r="BT15" i="4"/>
  <c r="BS15" i="4"/>
  <c r="BQ15" i="4"/>
  <c r="BG15" i="4"/>
  <c r="BY14" i="4"/>
  <c r="BW14" i="4"/>
  <c r="BV14" i="4"/>
  <c r="BT14" i="4"/>
  <c r="BS14" i="4"/>
  <c r="BQ14" i="4"/>
  <c r="BG14" i="4"/>
  <c r="BY13" i="4"/>
  <c r="BW13" i="4"/>
  <c r="BV13" i="4"/>
  <c r="BT13" i="4"/>
  <c r="BS13" i="4"/>
  <c r="BQ13" i="4"/>
  <c r="AV13" i="4"/>
  <c r="BG13" i="4" s="1"/>
  <c r="AM13" i="4"/>
  <c r="AL13" i="4"/>
  <c r="AL10" i="4" s="1"/>
  <c r="AC13" i="4"/>
  <c r="AC10" i="4" s="1"/>
  <c r="AB13" i="4"/>
  <c r="T13" i="4"/>
  <c r="Q13" i="4"/>
  <c r="P13" i="4"/>
  <c r="P10" i="4" s="1"/>
  <c r="M13" i="4"/>
  <c r="L13" i="4"/>
  <c r="I13" i="4"/>
  <c r="BY12" i="4"/>
  <c r="BW12" i="4"/>
  <c r="BV12" i="4"/>
  <c r="BT12" i="4"/>
  <c r="BS12" i="4"/>
  <c r="BQ12" i="4"/>
  <c r="AV12" i="4"/>
  <c r="BG12" i="4" s="1"/>
  <c r="AM12" i="4"/>
  <c r="AM10" i="4" s="1"/>
  <c r="AL12" i="4"/>
  <c r="AC12" i="4"/>
  <c r="AB12" i="4"/>
  <c r="T12" i="4"/>
  <c r="Q12" i="4"/>
  <c r="P12" i="4"/>
  <c r="M12" i="4"/>
  <c r="L12" i="4"/>
  <c r="L10" i="4" s="1"/>
  <c r="I12" i="4"/>
  <c r="F12" i="4"/>
  <c r="BY11" i="4"/>
  <c r="BW11" i="4"/>
  <c r="BV11" i="4"/>
  <c r="BT11" i="4"/>
  <c r="BS11" i="4"/>
  <c r="BQ11" i="4"/>
  <c r="AW11" i="4"/>
  <c r="AV11" i="4"/>
  <c r="BG11" i="4" s="1"/>
  <c r="AC11" i="4"/>
  <c r="AB11" i="4"/>
  <c r="AB10" i="4" s="1"/>
  <c r="T11" i="4"/>
  <c r="Q11" i="4"/>
  <c r="P11" i="4"/>
  <c r="M11" i="4"/>
  <c r="M10" i="4" s="1"/>
  <c r="L11" i="4"/>
  <c r="I11" i="4"/>
  <c r="F11" i="4"/>
  <c r="BX10" i="4"/>
  <c r="BU10" i="4"/>
  <c r="BR10" i="4"/>
  <c r="BP10" i="4"/>
  <c r="BL10" i="4"/>
  <c r="BK10" i="4"/>
  <c r="BJ10" i="4"/>
  <c r="BI10" i="4"/>
  <c r="BH10" i="4"/>
  <c r="BF10" i="4"/>
  <c r="BE10" i="4"/>
  <c r="BD10" i="4"/>
  <c r="BC10" i="4"/>
  <c r="AZ10" i="4"/>
  <c r="AY10" i="4"/>
  <c r="AX10" i="4"/>
  <c r="AW10" i="4"/>
  <c r="AU10" i="4"/>
  <c r="AT10" i="4"/>
  <c r="AP10" i="4"/>
  <c r="AO10" i="4"/>
  <c r="AN10" i="4"/>
  <c r="AK10" i="4"/>
  <c r="AJ10" i="4"/>
  <c r="AI10" i="4"/>
  <c r="AH10" i="4"/>
  <c r="AG10" i="4"/>
  <c r="AF10" i="4"/>
  <c r="AE10" i="4"/>
  <c r="AD10" i="4"/>
  <c r="AA10" i="4"/>
  <c r="Z10" i="4"/>
  <c r="Y10" i="4"/>
  <c r="X10" i="4"/>
  <c r="W10" i="4"/>
  <c r="W7" i="4" s="1"/>
  <c r="V10" i="4"/>
  <c r="U10" i="4"/>
  <c r="U8" i="4" s="1"/>
  <c r="S10" i="4"/>
  <c r="R10" i="4"/>
  <c r="O10" i="4"/>
  <c r="N10" i="4"/>
  <c r="K10" i="4"/>
  <c r="J10" i="4"/>
  <c r="H10" i="4"/>
  <c r="G10" i="4"/>
  <c r="F10" i="4"/>
  <c r="E10" i="4"/>
  <c r="D10" i="4"/>
  <c r="D8" i="4" s="1"/>
  <c r="C10" i="4"/>
  <c r="BO8" i="4"/>
  <c r="BN8" i="4"/>
  <c r="BM8" i="4"/>
  <c r="AS8" i="4"/>
  <c r="AR8" i="4"/>
  <c r="AQ8" i="4"/>
  <c r="AH8" i="4"/>
  <c r="BO7" i="4"/>
  <c r="BN7" i="4"/>
  <c r="BM7" i="4"/>
  <c r="AS7" i="4"/>
  <c r="AR7" i="4"/>
  <c r="AQ7" i="4"/>
  <c r="AA7" i="4"/>
  <c r="U7" i="4"/>
  <c r="E7" i="4"/>
  <c r="AT7" i="4" l="1"/>
  <c r="AT8" i="4"/>
  <c r="BS10" i="4"/>
  <c r="BH70" i="4"/>
  <c r="BH66" i="4"/>
  <c r="BB8" i="4"/>
  <c r="AL22" i="4"/>
  <c r="BD22" i="4"/>
  <c r="BD8" i="4" s="1"/>
  <c r="C8" i="4"/>
  <c r="C7" i="4"/>
  <c r="G8" i="4"/>
  <c r="S8" i="4"/>
  <c r="T10" i="4"/>
  <c r="AC8" i="4"/>
  <c r="O7" i="4"/>
  <c r="V22" i="4"/>
  <c r="V7" i="4" s="1"/>
  <c r="V123" i="4" s="1"/>
  <c r="Z22" i="4"/>
  <c r="Z8" i="4" s="1"/>
  <c r="AE22" i="4"/>
  <c r="AE7" i="4" s="1"/>
  <c r="AE123" i="4" s="1"/>
  <c r="AI22" i="4"/>
  <c r="AY22" i="4"/>
  <c r="AY8" i="4" s="1"/>
  <c r="T29" i="4"/>
  <c r="T22" i="4" s="1"/>
  <c r="Z7" i="4"/>
  <c r="Z123" i="4" s="1"/>
  <c r="AP7" i="4"/>
  <c r="AP8" i="4"/>
  <c r="BD7" i="4"/>
  <c r="BD123" i="4" s="1"/>
  <c r="G22" i="4"/>
  <c r="G7" i="4" s="1"/>
  <c r="BL70" i="4"/>
  <c r="BL66" i="4"/>
  <c r="AF7" i="4"/>
  <c r="AF123" i="4" s="1"/>
  <c r="AF124" i="4" s="1"/>
  <c r="C66" i="4"/>
  <c r="V8" i="4"/>
  <c r="AE8" i="4"/>
  <c r="AI8" i="4"/>
  <c r="BH7" i="4"/>
  <c r="BH8" i="4"/>
  <c r="BL7" i="4"/>
  <c r="BL8" i="4"/>
  <c r="BX8" i="4"/>
  <c r="BX7" i="4"/>
  <c r="BX123" i="4" s="1"/>
  <c r="BX124" i="4" s="1"/>
  <c r="F22" i="4"/>
  <c r="R22" i="4"/>
  <c r="R8" i="4" s="1"/>
  <c r="BW46" i="4"/>
  <c r="BU37" i="4"/>
  <c r="BW37" i="4" s="1"/>
  <c r="BD70" i="4"/>
  <c r="BD66" i="4"/>
  <c r="BM70" i="4"/>
  <c r="BM66" i="4"/>
  <c r="R68" i="4"/>
  <c r="R66" i="4" s="1"/>
  <c r="AW66" i="4"/>
  <c r="AU68" i="4"/>
  <c r="AU66" i="4" s="1"/>
  <c r="BW90" i="4"/>
  <c r="E8" i="4"/>
  <c r="O8" i="4"/>
  <c r="X8" i="4"/>
  <c r="AY7" i="4"/>
  <c r="AY123" i="4" s="1"/>
  <c r="BJ8" i="4"/>
  <c r="D7" i="4"/>
  <c r="H22" i="4"/>
  <c r="H7" i="4" s="1"/>
  <c r="AK22" i="4"/>
  <c r="AO7" i="4"/>
  <c r="BQ23" i="4"/>
  <c r="AW22" i="4"/>
  <c r="AW8" i="4" s="1"/>
  <c r="BA22" i="4"/>
  <c r="AF22" i="4"/>
  <c r="AF8" i="4" s="1"/>
  <c r="AJ22" i="4"/>
  <c r="AJ8" i="4" s="1"/>
  <c r="AN22" i="4"/>
  <c r="AN8" i="4" s="1"/>
  <c r="AU22" i="4"/>
  <c r="AU7" i="4" s="1"/>
  <c r="BW29" i="4"/>
  <c r="L29" i="4"/>
  <c r="L22" i="4" s="1"/>
  <c r="P29" i="4"/>
  <c r="P22" i="4" s="1"/>
  <c r="BQ34" i="4"/>
  <c r="K8" i="4"/>
  <c r="AU8" i="4"/>
  <c r="I10" i="4"/>
  <c r="Q10" i="4"/>
  <c r="Q8" i="4" s="1"/>
  <c r="C37" i="4"/>
  <c r="G37" i="4"/>
  <c r="K37" i="4"/>
  <c r="O37" i="4"/>
  <c r="AT37" i="4"/>
  <c r="AX37" i="4"/>
  <c r="BD37" i="4"/>
  <c r="BI37" i="4"/>
  <c r="BQ46" i="4"/>
  <c r="F37" i="4"/>
  <c r="J37" i="4"/>
  <c r="N37" i="4"/>
  <c r="AV68" i="4"/>
  <c r="AV66" i="4" s="1"/>
  <c r="AZ68" i="4"/>
  <c r="AZ66" i="4" s="1"/>
  <c r="BR68" i="4"/>
  <c r="BT74" i="4"/>
  <c r="BQ90" i="4"/>
  <c r="F8" i="4"/>
  <c r="F7" i="4"/>
  <c r="J8" i="4"/>
  <c r="J7" i="4"/>
  <c r="N8" i="4"/>
  <c r="N7" i="4"/>
  <c r="BA7" i="4"/>
  <c r="BA8" i="4"/>
  <c r="AD8" i="4"/>
  <c r="AD7" i="4"/>
  <c r="I8" i="4"/>
  <c r="I7" i="4"/>
  <c r="M8" i="4"/>
  <c r="M7" i="4"/>
  <c r="AM8" i="4"/>
  <c r="AM7" i="4"/>
  <c r="AK8" i="4"/>
  <c r="BQ10" i="4"/>
  <c r="BT16" i="4"/>
  <c r="BI22" i="4"/>
  <c r="BK22" i="4"/>
  <c r="BK7" i="4" s="1"/>
  <c r="BK123" i="4" s="1"/>
  <c r="BK67" i="4" s="1"/>
  <c r="BT26" i="4"/>
  <c r="BS26" i="4"/>
  <c r="AX22" i="4"/>
  <c r="AZ22" i="4"/>
  <c r="BF22" i="4"/>
  <c r="Q7" i="4"/>
  <c r="AG8" i="4"/>
  <c r="T7" i="4"/>
  <c r="X7" i="4"/>
  <c r="AC7" i="4"/>
  <c r="AG7" i="4"/>
  <c r="AG123" i="4" s="1"/>
  <c r="AI7" i="4"/>
  <c r="AK7" i="4"/>
  <c r="W8" i="4"/>
  <c r="Y8" i="4"/>
  <c r="AA8" i="4"/>
  <c r="AO8" i="4"/>
  <c r="AV10" i="4"/>
  <c r="BG10" i="4" s="1"/>
  <c r="BT10" i="4"/>
  <c r="BY10" i="4"/>
  <c r="BS16" i="4"/>
  <c r="BP22" i="4"/>
  <c r="BS22" i="4" s="1"/>
  <c r="BT23" i="4"/>
  <c r="BS23" i="4"/>
  <c r="BR22" i="4"/>
  <c r="BG27" i="4"/>
  <c r="AV26" i="4"/>
  <c r="AX70" i="4"/>
  <c r="AX66" i="4"/>
  <c r="BS68" i="4"/>
  <c r="BR66" i="4"/>
  <c r="BY68" i="4"/>
  <c r="BX66" i="4"/>
  <c r="BG55" i="4"/>
  <c r="BG68" i="4"/>
  <c r="BQ68" i="4"/>
  <c r="BW68" i="4"/>
  <c r="BV74" i="4"/>
  <c r="BT86" i="4"/>
  <c r="BV86" i="4"/>
  <c r="BS117" i="4"/>
  <c r="BY117" i="4"/>
  <c r="BG23" i="4"/>
  <c r="AB22" i="4"/>
  <c r="BC22" i="4"/>
  <c r="BV29" i="4"/>
  <c r="BY29" i="4"/>
  <c r="BG34" i="4"/>
  <c r="BV34" i="4"/>
  <c r="BY34" i="4"/>
  <c r="BR37" i="4"/>
  <c r="BT37" i="4" s="1"/>
  <c r="BX37" i="4"/>
  <c r="BQ39" i="4"/>
  <c r="BW39" i="4"/>
  <c r="BG46" i="4"/>
  <c r="BS46" i="4"/>
  <c r="BY46" i="4"/>
  <c r="BT50" i="4"/>
  <c r="BV50" i="4"/>
  <c r="BQ55" i="4"/>
  <c r="BS74" i="4"/>
  <c r="BS86" i="4"/>
  <c r="BG90" i="4"/>
  <c r="BS90" i="4"/>
  <c r="BY90" i="4"/>
  <c r="BG95" i="4"/>
  <c r="BG98" i="4"/>
  <c r="BG105" i="4"/>
  <c r="BG117" i="4"/>
  <c r="BQ117" i="4"/>
  <c r="BW117" i="4"/>
  <c r="BS66" i="4"/>
  <c r="AB8" i="4"/>
  <c r="AB7" i="4"/>
  <c r="AL8" i="4"/>
  <c r="AL7" i="4"/>
  <c r="BI7" i="4"/>
  <c r="BI123" i="4" s="1"/>
  <c r="BI8" i="4"/>
  <c r="BC7" i="4"/>
  <c r="BC8" i="4"/>
  <c r="BV10" i="4"/>
  <c r="BV16" i="4"/>
  <c r="BE22" i="4"/>
  <c r="BQ22" i="4" s="1"/>
  <c r="BU22" i="4"/>
  <c r="BU8" i="4" s="1"/>
  <c r="BV23" i="4"/>
  <c r="BV26" i="4"/>
  <c r="AV29" i="4"/>
  <c r="AV22" i="4" s="1"/>
  <c r="BS29" i="4"/>
  <c r="BS34" i="4"/>
  <c r="BG39" i="4"/>
  <c r="BT39" i="4"/>
  <c r="BV39" i="4"/>
  <c r="BW10" i="4"/>
  <c r="BG16" i="4"/>
  <c r="BW16" i="4"/>
  <c r="BW23" i="4"/>
  <c r="BG26" i="4"/>
  <c r="BW26" i="4"/>
  <c r="BT29" i="4"/>
  <c r="BT34" i="4"/>
  <c r="BG37" i="4"/>
  <c r="BQ37" i="4"/>
  <c r="D123" i="4"/>
  <c r="D38" i="4" s="1"/>
  <c r="F123" i="4"/>
  <c r="F9" i="4" s="1"/>
  <c r="H123" i="4"/>
  <c r="BT46" i="4"/>
  <c r="BV46" i="4"/>
  <c r="BW50" i="4"/>
  <c r="BY50" i="4"/>
  <c r="C123" i="4"/>
  <c r="C9" i="4" s="1"/>
  <c r="E123" i="4"/>
  <c r="E38" i="4" s="1"/>
  <c r="G123" i="4"/>
  <c r="G9" i="4" s="1"/>
  <c r="I123" i="4"/>
  <c r="I38" i="4" s="1"/>
  <c r="K123" i="4"/>
  <c r="K9" i="4" s="1"/>
  <c r="M123" i="4"/>
  <c r="M38" i="4" s="1"/>
  <c r="O123" i="4"/>
  <c r="O9" i="4" s="1"/>
  <c r="Q123" i="4"/>
  <c r="Q38" i="4" s="1"/>
  <c r="S123" i="4"/>
  <c r="U123" i="4"/>
  <c r="U38" i="4" s="1"/>
  <c r="W123" i="4"/>
  <c r="W124" i="4" s="1"/>
  <c r="Y123" i="4"/>
  <c r="AA123" i="4"/>
  <c r="AC123" i="4"/>
  <c r="AI123" i="4"/>
  <c r="AK123" i="4"/>
  <c r="AM123" i="4"/>
  <c r="AM124" i="4" s="1"/>
  <c r="AO123" i="4"/>
  <c r="AQ123" i="4"/>
  <c r="AQ38" i="4" s="1"/>
  <c r="AS123" i="4"/>
  <c r="AU123" i="4"/>
  <c r="AU38" i="4" s="1"/>
  <c r="BA123" i="4"/>
  <c r="BC123" i="4"/>
  <c r="BC38" i="4" s="1"/>
  <c r="BG66" i="4"/>
  <c r="BM123" i="4"/>
  <c r="BO123" i="4"/>
  <c r="BO38" i="4" s="1"/>
  <c r="BQ66" i="4"/>
  <c r="BW66" i="4"/>
  <c r="BY66" i="4"/>
  <c r="D67" i="4"/>
  <c r="H67" i="4"/>
  <c r="BT68" i="4"/>
  <c r="BV68" i="4"/>
  <c r="BR70" i="4"/>
  <c r="C124" i="4"/>
  <c r="E124" i="4"/>
  <c r="I124" i="4"/>
  <c r="K124" i="4"/>
  <c r="M124" i="4"/>
  <c r="Q124" i="4"/>
  <c r="S124" i="4"/>
  <c r="U124" i="4"/>
  <c r="Y124" i="4"/>
  <c r="AA124" i="4"/>
  <c r="AC124" i="4"/>
  <c r="AI124" i="4"/>
  <c r="AK124" i="4"/>
  <c r="AO124" i="4"/>
  <c r="BG71" i="4"/>
  <c r="BT71" i="4"/>
  <c r="BV71" i="4"/>
  <c r="BW74" i="4"/>
  <c r="BY74" i="4"/>
  <c r="BS85" i="4"/>
  <c r="BG86" i="4"/>
  <c r="BW86" i="4"/>
  <c r="BY86" i="4"/>
  <c r="BT90" i="4"/>
  <c r="BV90" i="4"/>
  <c r="BQ95" i="4"/>
  <c r="BQ98" i="4"/>
  <c r="BQ113" i="4"/>
  <c r="BT117" i="4"/>
  <c r="BV117" i="4"/>
  <c r="J123" i="4"/>
  <c r="J9" i="4" s="1"/>
  <c r="N123" i="4"/>
  <c r="T123" i="4"/>
  <c r="T38" i="4" s="1"/>
  <c r="X123" i="4"/>
  <c r="AB123" i="4"/>
  <c r="AB124" i="4" s="1"/>
  <c r="AD123" i="4"/>
  <c r="AH123" i="4"/>
  <c r="AH9" i="4" s="1"/>
  <c r="AL123" i="4"/>
  <c r="AL67" i="4" s="1"/>
  <c r="AP123" i="4"/>
  <c r="AP9" i="4" s="1"/>
  <c r="AR123" i="4"/>
  <c r="AT123" i="4"/>
  <c r="BB123" i="4"/>
  <c r="BB9" i="4" s="1"/>
  <c r="BH123" i="4"/>
  <c r="BH124" i="4" s="1"/>
  <c r="BJ123" i="4"/>
  <c r="BJ9" i="4" s="1"/>
  <c r="BL123" i="4"/>
  <c r="BN123" i="4"/>
  <c r="BN9" i="4" s="1"/>
  <c r="BT66" i="4"/>
  <c r="BV66" i="4"/>
  <c r="C67" i="4"/>
  <c r="E67" i="4"/>
  <c r="I67" i="4"/>
  <c r="K67" i="4"/>
  <c r="M67" i="4"/>
  <c r="Q67" i="4"/>
  <c r="S67" i="4"/>
  <c r="U67" i="4"/>
  <c r="Y67" i="4"/>
  <c r="AA67" i="4"/>
  <c r="AC67" i="4"/>
  <c r="AI67" i="4"/>
  <c r="AK67" i="4"/>
  <c r="AO67" i="4"/>
  <c r="AQ67" i="4"/>
  <c r="AS67" i="4"/>
  <c r="BA67" i="4"/>
  <c r="BM67" i="4"/>
  <c r="BO67" i="4"/>
  <c r="D124" i="4"/>
  <c r="H124" i="4"/>
  <c r="J124" i="4"/>
  <c r="N124" i="4"/>
  <c r="X124" i="4"/>
  <c r="AD124" i="4"/>
  <c r="AH124" i="4"/>
  <c r="AL124" i="4"/>
  <c r="AP124" i="4"/>
  <c r="BJ124" i="4"/>
  <c r="BL124" i="4"/>
  <c r="BQ71" i="4"/>
  <c r="BS71" i="4"/>
  <c r="BW71" i="4"/>
  <c r="BY71" i="4"/>
  <c r="AY38" i="4" l="1"/>
  <c r="AY67" i="4"/>
  <c r="AY124" i="4"/>
  <c r="AG124" i="4"/>
  <c r="AG67" i="4"/>
  <c r="V9" i="4"/>
  <c r="V124" i="4"/>
  <c r="BI124" i="4"/>
  <c r="BI67" i="4"/>
  <c r="P7" i="4"/>
  <c r="P123" i="4" s="1"/>
  <c r="P8" i="4"/>
  <c r="Z9" i="4"/>
  <c r="Z124" i="4"/>
  <c r="AE124" i="4"/>
  <c r="AE67" i="4"/>
  <c r="L7" i="4"/>
  <c r="L123" i="4" s="1"/>
  <c r="L8" i="4"/>
  <c r="BK8" i="4"/>
  <c r="BV37" i="4"/>
  <c r="AN7" i="4"/>
  <c r="AN123" i="4" s="1"/>
  <c r="AN124" i="4" s="1"/>
  <c r="H8" i="4"/>
  <c r="R7" i="4"/>
  <c r="R123" i="4" s="1"/>
  <c r="F124" i="4"/>
  <c r="AU124" i="4"/>
  <c r="T124" i="4"/>
  <c r="F67" i="4"/>
  <c r="BY37" i="4"/>
  <c r="AW7" i="4"/>
  <c r="AW123" i="4" s="1"/>
  <c r="T8" i="4"/>
  <c r="AJ7" i="4"/>
  <c r="AJ123" i="4" s="1"/>
  <c r="AJ124" i="4" s="1"/>
  <c r="BC67" i="4"/>
  <c r="AU67" i="4"/>
  <c r="AM67" i="4"/>
  <c r="W67" i="4"/>
  <c r="O67" i="4"/>
  <c r="G67" i="4"/>
  <c r="AT9" i="4"/>
  <c r="AD9" i="4"/>
  <c r="N9" i="4"/>
  <c r="O124" i="4"/>
  <c r="G124" i="4"/>
  <c r="H9" i="4"/>
  <c r="BS37" i="4"/>
  <c r="BP7" i="4"/>
  <c r="BP123" i="4" s="1"/>
  <c r="BP124" i="4" s="1"/>
  <c r="BP8" i="4"/>
  <c r="AZ8" i="4"/>
  <c r="AZ7" i="4"/>
  <c r="AZ123" i="4" s="1"/>
  <c r="AZ124" i="4" s="1"/>
  <c r="BT22" i="4"/>
  <c r="BR8" i="4"/>
  <c r="BR7" i="4"/>
  <c r="BT7" i="4" s="1"/>
  <c r="BF8" i="4"/>
  <c r="BF7" i="4"/>
  <c r="BF123" i="4" s="1"/>
  <c r="BF124" i="4" s="1"/>
  <c r="AX8" i="4"/>
  <c r="AX7" i="4"/>
  <c r="AX123" i="4" s="1"/>
  <c r="AX124" i="4" s="1"/>
  <c r="BV8" i="4"/>
  <c r="BW8" i="4"/>
  <c r="BY8" i="4"/>
  <c r="BX67" i="4"/>
  <c r="BL67" i="4"/>
  <c r="BH67" i="4"/>
  <c r="BD124" i="4"/>
  <c r="BD67" i="4"/>
  <c r="AZ67" i="4"/>
  <c r="AR124" i="4"/>
  <c r="AR38" i="4"/>
  <c r="AJ38" i="4"/>
  <c r="BK124" i="4"/>
  <c r="AT124" i="4"/>
  <c r="BM124" i="4"/>
  <c r="BM9" i="4"/>
  <c r="BA124" i="4"/>
  <c r="BA9" i="4"/>
  <c r="AS124" i="4"/>
  <c r="AS9" i="4"/>
  <c r="AT67" i="4"/>
  <c r="AP67" i="4"/>
  <c r="AH67" i="4"/>
  <c r="AD67" i="4"/>
  <c r="Z67" i="4"/>
  <c r="V67" i="4"/>
  <c r="R67" i="4"/>
  <c r="N67" i="4"/>
  <c r="J67" i="4"/>
  <c r="BK38" i="4"/>
  <c r="AV8" i="4"/>
  <c r="AV7" i="4"/>
  <c r="AZ38" i="4"/>
  <c r="AD38" i="4"/>
  <c r="Z38" i="4"/>
  <c r="V38" i="4"/>
  <c r="R38" i="4"/>
  <c r="N38" i="4"/>
  <c r="J38" i="4"/>
  <c r="F38" i="4"/>
  <c r="BG29" i="4"/>
  <c r="AM9" i="4"/>
  <c r="Y9" i="4"/>
  <c r="U9" i="4"/>
  <c r="Q9" i="4"/>
  <c r="M9" i="4"/>
  <c r="E9" i="4"/>
  <c r="T9" i="4"/>
  <c r="D9" i="4"/>
  <c r="BP38" i="4"/>
  <c r="BH38" i="4"/>
  <c r="AM38" i="4"/>
  <c r="AI38" i="4"/>
  <c r="AE38" i="4"/>
  <c r="AA38" i="4"/>
  <c r="W38" i="4"/>
  <c r="S38" i="4"/>
  <c r="O38" i="4"/>
  <c r="K38" i="4"/>
  <c r="G38" i="4"/>
  <c r="C38" i="4"/>
  <c r="AL9" i="4"/>
  <c r="AB9" i="4"/>
  <c r="AI9" i="4"/>
  <c r="AE9" i="4"/>
  <c r="BX9" i="4"/>
  <c r="BH9" i="4"/>
  <c r="AF9" i="4"/>
  <c r="P9" i="4"/>
  <c r="BN124" i="4"/>
  <c r="BN67" i="4"/>
  <c r="BN38" i="4"/>
  <c r="BJ67" i="4"/>
  <c r="BJ38" i="4"/>
  <c r="BB124" i="4"/>
  <c r="BB67" i="4"/>
  <c r="BB38" i="4"/>
  <c r="AX67" i="4"/>
  <c r="AX38" i="4"/>
  <c r="AT38" i="4"/>
  <c r="AP38" i="4"/>
  <c r="AL38" i="4"/>
  <c r="AH38" i="4"/>
  <c r="BV70" i="4"/>
  <c r="BS70" i="4"/>
  <c r="BT70" i="4"/>
  <c r="BO124" i="4"/>
  <c r="BO9" i="4"/>
  <c r="BC124" i="4"/>
  <c r="AY9" i="4"/>
  <c r="AU9" i="4"/>
  <c r="AQ124" i="4"/>
  <c r="AQ9" i="4"/>
  <c r="AR67" i="4"/>
  <c r="AJ67" i="4"/>
  <c r="AF67" i="4"/>
  <c r="AB67" i="4"/>
  <c r="X67" i="4"/>
  <c r="T67" i="4"/>
  <c r="P67" i="4"/>
  <c r="BM38" i="4"/>
  <c r="BI38" i="4"/>
  <c r="BA38" i="4"/>
  <c r="BV22" i="4"/>
  <c r="BU7" i="4"/>
  <c r="BW22" i="4"/>
  <c r="BE7" i="4"/>
  <c r="BG22" i="4"/>
  <c r="BE8" i="4"/>
  <c r="BD38" i="4"/>
  <c r="AF38" i="4"/>
  <c r="AB38" i="4"/>
  <c r="X38" i="4"/>
  <c r="L38" i="4"/>
  <c r="H38" i="4"/>
  <c r="BC9" i="4"/>
  <c r="AO9" i="4"/>
  <c r="AA9" i="4"/>
  <c r="W9" i="4"/>
  <c r="S9" i="4"/>
  <c r="I9" i="4"/>
  <c r="AZ9" i="4"/>
  <c r="BX38" i="4"/>
  <c r="BL38" i="4"/>
  <c r="AS38" i="4"/>
  <c r="AO38" i="4"/>
  <c r="AK38" i="4"/>
  <c r="AG38" i="4"/>
  <c r="AC38" i="4"/>
  <c r="Y38" i="4"/>
  <c r="BK9" i="4"/>
  <c r="BI9" i="4"/>
  <c r="BY22" i="4"/>
  <c r="AK9" i="4"/>
  <c r="AG9" i="4"/>
  <c r="AC9" i="4"/>
  <c r="BP9" i="4"/>
  <c r="BL9" i="4"/>
  <c r="BD9" i="4"/>
  <c r="AR9" i="4"/>
  <c r="AJ9" i="4"/>
  <c r="AX9" i="4"/>
  <c r="X9" i="4"/>
  <c r="AW67" i="4" l="1"/>
  <c r="AW124" i="4"/>
  <c r="AW38" i="4"/>
  <c r="AN67" i="4"/>
  <c r="AW9" i="4"/>
  <c r="AN38" i="4"/>
  <c r="BP67" i="4"/>
  <c r="L9" i="4"/>
  <c r="L124" i="4"/>
  <c r="R9" i="4"/>
  <c r="R124" i="4"/>
  <c r="P38" i="4"/>
  <c r="P124" i="4"/>
  <c r="L67" i="4"/>
  <c r="BF38" i="4"/>
  <c r="BF9" i="4"/>
  <c r="BF67" i="4"/>
  <c r="AN9" i="4"/>
  <c r="BT8" i="4"/>
  <c r="BS8" i="4"/>
  <c r="BS7" i="4"/>
  <c r="BR123" i="4"/>
  <c r="BG8" i="4"/>
  <c r="BQ8" i="4"/>
  <c r="AV123" i="4"/>
  <c r="BQ7" i="4"/>
  <c r="BG7" i="4"/>
  <c r="BE123" i="4"/>
  <c r="BY7" i="4"/>
  <c r="BW7" i="4"/>
  <c r="BV7" i="4"/>
  <c r="BU123" i="4"/>
  <c r="AV9" i="4"/>
  <c r="BR9" i="4" l="1"/>
  <c r="BS123" i="4"/>
  <c r="BR38" i="4"/>
  <c r="BR124" i="4"/>
  <c r="BT123" i="4"/>
  <c r="BR67" i="4"/>
  <c r="BV123" i="4"/>
  <c r="BW123" i="4"/>
  <c r="BU67" i="4"/>
  <c r="BU124" i="4"/>
  <c r="BU38" i="4"/>
  <c r="BY123" i="4"/>
  <c r="BU9" i="4"/>
  <c r="BE124" i="4"/>
  <c r="BQ124" i="4" s="1"/>
  <c r="BG123" i="4"/>
  <c r="BG124" i="4" s="1"/>
  <c r="BE38" i="4"/>
  <c r="BE67" i="4"/>
  <c r="BQ123" i="4"/>
  <c r="AV67" i="4"/>
  <c r="AV38" i="4"/>
  <c r="AV124" i="4"/>
  <c r="BE9" i="4"/>
  <c r="BS124" i="4" l="1"/>
  <c r="BT124" i="4"/>
  <c r="BW124" i="4"/>
  <c r="BV124" i="4"/>
  <c r="BY124" i="4"/>
</calcChain>
</file>

<file path=xl/comments1.xml><?xml version="1.0" encoding="utf-8"?>
<comments xmlns="http://schemas.openxmlformats.org/spreadsheetml/2006/main">
  <authors>
    <author>Автор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выигрыши, лотереи, аренда, продажа недвиж, дивиденды и т.д.</t>
        </r>
      </text>
    </comment>
    <comment ref="E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H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K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O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S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W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A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E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K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</commentList>
</comments>
</file>

<file path=xl/sharedStrings.xml><?xml version="1.0" encoding="utf-8"?>
<sst xmlns="http://schemas.openxmlformats.org/spreadsheetml/2006/main" count="474" uniqueCount="372">
  <si>
    <t xml:space="preserve">Анализ  доходов бюджета сельского поселения Перегребное  </t>
  </si>
  <si>
    <t>Код бюджетной классификации</t>
  </si>
  <si>
    <t>Наименование дохода</t>
  </si>
  <si>
    <t>исполнение за 2011 год</t>
  </si>
  <si>
    <t>РСД от  28.12.2011 № 53</t>
  </si>
  <si>
    <t>РСД от  28.12.2012  №65</t>
  </si>
  <si>
    <t>исполнение за 2012 год</t>
  </si>
  <si>
    <t>РСД от  28.12.2012 № 66</t>
  </si>
  <si>
    <t>РСД от  26.12.2013  № 27</t>
  </si>
  <si>
    <t>исполнение за 2013 год</t>
  </si>
  <si>
    <t>РСД от  26.12.2013 № 28</t>
  </si>
  <si>
    <t>РСД от  26.12.2014  № 48</t>
  </si>
  <si>
    <t>исполнение за 2014 год</t>
  </si>
  <si>
    <t>начисление за 2014 год</t>
  </si>
  <si>
    <t>РСД от  26.12.2014 № 46</t>
  </si>
  <si>
    <t>РСД от  25.12.2015  № 45</t>
  </si>
  <si>
    <t>исполнение за 2015 год</t>
  </si>
  <si>
    <t>начисление за 2015 год</t>
  </si>
  <si>
    <t>РСД от  25.12.2015 № 46</t>
  </si>
  <si>
    <t>РСД от  29.12.2016  № 55</t>
  </si>
  <si>
    <t>исполнение за 2016 год</t>
  </si>
  <si>
    <t>начисление за 2016 год</t>
  </si>
  <si>
    <t>РСД от 29.12.2016 №56</t>
  </si>
  <si>
    <t>РСД от  29.12.2017  № 44</t>
  </si>
  <si>
    <t>исполнение за 2017 год</t>
  </si>
  <si>
    <t>начисление за 2017 год</t>
  </si>
  <si>
    <t>РСД от 29.12.2017 №45</t>
  </si>
  <si>
    <t>РСД от  27.12.2018  № 18</t>
  </si>
  <si>
    <t>исполнение за 2018 год</t>
  </si>
  <si>
    <t>начисление за 2018 год</t>
  </si>
  <si>
    <t>РСД от 27.12.2018 №17</t>
  </si>
  <si>
    <t>РСД от  27.12.2019  № 61</t>
  </si>
  <si>
    <t>исполнение за 2019 год</t>
  </si>
  <si>
    <t>начисление за 2019 год</t>
  </si>
  <si>
    <t>РСД от 16.12.2019 №59</t>
  </si>
  <si>
    <t>РСД от  29.12.2020 № 43</t>
  </si>
  <si>
    <t>исполнение за 2020 год</t>
  </si>
  <si>
    <t>начисление за 2020 год</t>
  </si>
  <si>
    <t>РСД от 22.12.20 №40</t>
  </si>
  <si>
    <t>РСД от 15.04.21 №12</t>
  </si>
  <si>
    <t>РСД от 31.05.21 №16</t>
  </si>
  <si>
    <t>РСД от 14.09.21 №26</t>
  </si>
  <si>
    <t>РСД от 15.11.21 №35</t>
  </si>
  <si>
    <t>РСД от 28.12.2021 №43</t>
  </si>
  <si>
    <t>исполнение за 2021 год</t>
  </si>
  <si>
    <t>начисление за 2021 год</t>
  </si>
  <si>
    <t>РСД от 20.12.21 №41</t>
  </si>
  <si>
    <t>РСД от 21.03.22 №6</t>
  </si>
  <si>
    <t>РСД 14.06.22 №16</t>
  </si>
  <si>
    <t>РСД 20.10.22 №26</t>
  </si>
  <si>
    <t>РСД 23.12.22 №36</t>
  </si>
  <si>
    <t>исполнение за 2022 год</t>
  </si>
  <si>
    <t>начисление за 2022 год</t>
  </si>
  <si>
    <t>в % к 2021 году</t>
  </si>
  <si>
    <t>РСД от 23.12.2022 №37</t>
  </si>
  <si>
    <t>РСД от 07.04.2023 №14</t>
  </si>
  <si>
    <t>РСД от 29.06.23 №28</t>
  </si>
  <si>
    <t>РСД от 08.08.23 №32</t>
  </si>
  <si>
    <t>РСД от 08.09.2023 № 36</t>
  </si>
  <si>
    <t>Проект 11.23</t>
  </si>
  <si>
    <t>ожидаемое исполнение за 2023 год</t>
  </si>
  <si>
    <t>в % к 2022 году</t>
  </si>
  <si>
    <t>Проект</t>
  </si>
  <si>
    <t>Утвержденные назначения</t>
  </si>
  <si>
    <t xml:space="preserve"> Уточненные назначения</t>
  </si>
  <si>
    <t>Утвержденные назначения на 2020 год</t>
  </si>
  <si>
    <t>Утвержденные назначения на 2021 год</t>
  </si>
  <si>
    <t>Утвержденные назначения на 2022 год</t>
  </si>
  <si>
    <t>Уточненные назначения на 2020 год</t>
  </si>
  <si>
    <t>2021 год</t>
  </si>
  <si>
    <t>2022 год</t>
  </si>
  <si>
    <t>2023 год</t>
  </si>
  <si>
    <t>2024 год</t>
  </si>
  <si>
    <t>2025 год</t>
  </si>
  <si>
    <t>в % к 2023 году</t>
  </si>
  <si>
    <t>в % к РСД №37</t>
  </si>
  <si>
    <t>в % к 2024 году</t>
  </si>
  <si>
    <t>2026 год</t>
  </si>
  <si>
    <t>в % к 2025 году</t>
  </si>
  <si>
    <t>000 1 00 00000 00 0000 000</t>
  </si>
  <si>
    <t xml:space="preserve">НАЛОГОВЫЕ И НЕНАЛОГОВЫЕ ДОХОДЫ </t>
  </si>
  <si>
    <t>Налоговые доходы</t>
  </si>
  <si>
    <t>удельный вес в общем объеме доходов, %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</si>
  <si>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</si>
  <si>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</si>
  <si>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</si>
  <si>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</si>
  <si>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</si>
  <si>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</si>
  <si>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</si>
  <si>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</si>
  <si>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182 1 01 02040 01 0000 110</t>
  </si>
  <si>
    <t>Налог на доходы физических лиц 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НК РФ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</si>
  <si>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</si>
  <si>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</si>
  <si>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000 103 00000 00 0000 000</t>
  </si>
  <si>
    <t>Налоги на товары (работы, услуги), реализуемые на территории РФ</t>
  </si>
  <si>
    <t>000 103 02230 01 0000 110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</si>
  <si>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</si>
  <si>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</si>
  <si>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</si>
  <si>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</si>
  <si>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</si>
  <si>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</si>
  <si>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</si>
  <si>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000 1 05 00000 00 0000 000</t>
  </si>
  <si>
    <t>НАЛОГИ НА СОВОКУПНЫЙ ДОХОД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</si>
  <si>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</si>
  <si>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</si>
  <si>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</si>
  <si>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</si>
  <si>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</si>
  <si>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</si>
  <si>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списано</t>
  </si>
  <si>
    <t>182 1 06 04000 02 0000 110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</si>
  <si>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</si>
  <si>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</si>
  <si>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</si>
  <si>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</si>
  <si>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</si>
  <si>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</si>
  <si>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</si>
  <si>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</si>
  <si>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</si>
  <si>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списано 173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</si>
  <si>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</si>
  <si>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</si>
  <si>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</si>
  <si>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</si>
  <si>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</si>
  <si>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</t>
  </si>
  <si>
    <t>650 1 08 07175 01 0000 110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</si>
  <si>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</si>
  <si>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</si>
  <si>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</si>
  <si>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</si>
  <si>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</si>
  <si>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</si>
  <si>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650 1 11 05035 10 0000 120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</si>
  <si>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им-ва б и а у)</t>
  </si>
  <si>
    <t>000 1 11 05075 10 0000 120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</si>
  <si>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</si>
  <si>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000 111 07015 10 0000120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</si>
  <si>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</si>
  <si>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650 1 11 09045 10 0000 120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</si>
  <si>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</si>
  <si>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11109…/172</t>
  </si>
  <si>
    <t>учр</t>
  </si>
  <si>
    <t>000 1 13  00000 00 0000 000</t>
  </si>
  <si>
    <t>ДОХОДЫ ОТ ОКАЗАНИЯ ПЛАТНЫХ УСЛУГ (РАБОТ) И КОМПЕНСАЦИИ ЗАТРАТ ГОСУДАРСТВА</t>
  </si>
  <si>
    <t>650 1 13 01995 10 0000 130</t>
  </si>
  <si>
    <t>Прочие доходы от оказания платных услуг (работ) получателями средств бюджетов сельских поселений</t>
  </si>
  <si>
    <t>650 1 13 02995 10 0000 130</t>
  </si>
  <si>
    <t>Прочие доходы от компенсации затрат бюджетов сельских  поселений</t>
  </si>
  <si>
    <t>000 1 14 00000 00 0000 000</t>
  </si>
  <si>
    <t>ДОХОДЫ ОТ ПРОДАЖИ МАТЕРИАЛЬНЫХ И НЕМАТЕРИАЛЬНЫХ АКТИВОВ</t>
  </si>
  <si>
    <t xml:space="preserve"> 650 1 14 02053 10 0000 410</t>
  </si>
  <si>
    <t>Доходы от реализации иного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</si>
  <si>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650 1 14 02053 10 0000 440</t>
  </si>
  <si>
    <t>Доходы от реализации иного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</si>
  <si>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>650 1 14 06025 10 0000 430</t>
  </si>
  <si>
    <t>Доходы от продажи земельных участков, находящихся в собственности сельских поселений (за исключением земельных участков, находящихся в собственности муниципальных бюджетных и автономных учреждений)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</si>
  <si>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</si>
  <si>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</t>
  </si>
  <si>
    <t>000 1 16 00000 00 0000 000</t>
  </si>
  <si>
    <t>ШТРАФЫ, САНКЦИИ, ВОЗМЕЩЕНИЕ УЩЕРБА</t>
  </si>
  <si>
    <t>650 1 16 23051 10 0000 140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</si>
  <si>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 </t>
  </si>
  <si>
    <t>650 1 16 23052 10 0000 140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</si>
  <si>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 </t>
  </si>
  <si>
    <t>000 1 16 10123 01 0000 140/145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</si>
  <si>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</si>
  <si>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000 1 16 07010 10 0000 140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</si>
  <si>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</si>
  <si>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1 1 16 07010 10 0000 140/174
</t>
  </si>
  <si>
    <t>выпадающие доходы</t>
  </si>
  <si>
    <t>188 1 16 30015 01 0000 140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</si>
  <si>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сельских поселений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</si>
  <si>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</si>
  <si>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</si>
  <si>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650 1 17 00000 00 0000 000 </t>
  </si>
  <si>
    <t>Прочие неналоговые доходы</t>
  </si>
  <si>
    <t>117/199</t>
  </si>
  <si>
    <t>000 2 00 00000 00 0000 000</t>
  </si>
  <si>
    <t>БЕЗВОЗМЕЗДНЫЕ ПОСТУПЛЕНИЯ</t>
  </si>
  <si>
    <t>000 2 02 00000 00 0000 000</t>
  </si>
  <si>
    <t>Безвозмездные  поступления от других  бюджетов бюджетной системы РФ</t>
  </si>
  <si>
    <t>Безвозмездные  поступления от других  бюджетов бюджетной системы РФ без учета дотаций</t>
  </si>
  <si>
    <t>000 2 02 10000 00 0000 150</t>
  </si>
  <si>
    <t>Дотации бюджетам бюджетной системы Российской Федерации</t>
  </si>
  <si>
    <t>650 2 02 15001 10 0000 150</t>
  </si>
  <si>
    <t xml:space="preserve">Дотации бюджетам сельских поселений на выравнивание бюджетной обеспеченности из бюджета субъекта РФ </t>
  </si>
  <si>
    <t>650 2 02 15002 10 0000 150</t>
  </si>
  <si>
    <t>Дотации бюджетам сельских поселений на поддержку мер по обеспечению сбалансированности бюджетов</t>
  </si>
  <si>
    <t>000 2 02 20000 00 0000 150</t>
  </si>
  <si>
    <t>Субсидии бюджетам бюджетной системы Российской Федерации (межбюджетные субсидии)</t>
  </si>
  <si>
    <t>650 2 02 02041 10 0000 151</t>
  </si>
  <si>
    <t>Субсидии бюджетам  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</si>
  <si>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650 2 02 02109 10 0000 151</t>
  </si>
  <si>
    <t>Субсидии бюджетам поселений на проведение капитального ремонта многоквартирных домов</t>
  </si>
  <si>
    <t>650 2 02 02150 10 0000 151</t>
  </si>
  <si>
    <t xml:space="preserve">Субсидии бюджетам поселений на реализацию программы энергосбережения и повышения энергетической эффективности на период до 2020 года </t>
  </si>
  <si>
    <t>650 2 02 29999 10 0000 150</t>
  </si>
  <si>
    <t>Прочие субсидии бюджетам сельских поселений</t>
  </si>
  <si>
    <t>ЖКК и ГС в МООР</t>
  </si>
  <si>
    <t>профилактика правонарушений</t>
  </si>
  <si>
    <t>Наш дом на 2011-2015 годы</t>
  </si>
  <si>
    <t>Культура Югры на 2009-2013</t>
  </si>
  <si>
    <t xml:space="preserve">энергосбережение </t>
  </si>
  <si>
    <t>наш дом (дорожн.фонд)</t>
  </si>
  <si>
    <t>инициативн пр МП Развитие гражданского общества в МООР</t>
  </si>
  <si>
    <t>000 2 02 30000 00 0000 150</t>
  </si>
  <si>
    <t>Субвенции бюджетам бюджетной системы Российской Федерации</t>
  </si>
  <si>
    <t>650 2 02 30024 10 0000 150</t>
  </si>
  <si>
    <t>Субвенции бюджетам сельских поселений на выполнение передаваемых полномочий субъектов РФ</t>
  </si>
  <si>
    <t>650 2 02 35930 10 0000 150</t>
  </si>
  <si>
    <t>Субвенции бюджетам сельских поселений на государственную регистрацию актов гражданского состояния</t>
  </si>
  <si>
    <t>650 2 02 35118 10 0000 150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</si>
  <si>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</si>
  <si>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000 2 02 40000 0000 150</t>
  </si>
  <si>
    <t>Иные межбюджетные трансферты</t>
  </si>
  <si>
    <t xml:space="preserve">650
2 02 45160 10 0000 150
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</si>
  <si>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</si>
  <si>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000 2 02 04029 10 0000150</t>
  </si>
  <si>
    <t xml:space="preserve">Межбюджетные трансферты, передаваемые бюджетам сельских поселений на реализацию дополнительных мероприятий,направленных на снижение напряженности на рынке труда </t>
  </si>
  <si>
    <t xml:space="preserve">650
2 02 49999 10 0000 150
</t>
  </si>
  <si>
    <t>Прочие межбюджетные трансферты, передаваемые бюджетам сельских поселений</t>
  </si>
  <si>
    <t xml:space="preserve">Современная транспортная система </t>
  </si>
  <si>
    <t xml:space="preserve">Содействие занятости населения </t>
  </si>
  <si>
    <t>Развитие физической культуры и спорта на территории ОР</t>
  </si>
  <si>
    <r>
      <t>МП "</t>
    </r>
    <r>
      <rPr>
        <b/>
        <sz val="10"/>
        <rFont val="Times New Roman"/>
        <family val="1"/>
        <charset val="204"/>
      </rPr>
      <t>Развитие культуры и туризма в МООР</t>
    </r>
    <r>
      <rPr>
        <sz val="10"/>
        <rFont val="Times New Roman"/>
        <family val="1"/>
        <charset val="204"/>
      </rPr>
      <t xml:space="preserve">" </t>
    </r>
  </si>
  <si>
    <t>МП "ЖКК в МООР"</t>
  </si>
  <si>
    <t>МП Пространственное развитие и ФКГС в МООР"</t>
  </si>
  <si>
    <t>Безопасность жизнедеятельности в  МООР</t>
  </si>
  <si>
    <t>наказы избирателей</t>
  </si>
  <si>
    <t>профилактика экстремизма</t>
  </si>
  <si>
    <t>профилактика терроризма</t>
  </si>
  <si>
    <t>Экологическая безопасность в МООР</t>
  </si>
  <si>
    <t>Доступная среда в МООР</t>
  </si>
  <si>
    <t>мобилизация</t>
  </si>
  <si>
    <t xml:space="preserve">содействие местному самоуправлению в развитии культурно-исторических традиций </t>
  </si>
  <si>
    <t>на повыш оплаты труда работников МУ культуры в целях реализации указов Президента РФ</t>
  </si>
  <si>
    <t>Развитие гражданского общества в МООР (иниц бюдж)</t>
  </si>
  <si>
    <t xml:space="preserve">на грантовую поддержку по итогам работы органов местного самоуправления в рамках муниципальной программы «Управление муниципальными финансами в Октябрьском районе» </t>
  </si>
  <si>
    <t>МП "Развитие АПК в МООР"</t>
  </si>
  <si>
    <t>МП "Управление муниципальной собственностью в МООР"</t>
  </si>
  <si>
    <t>Развитие образования</t>
  </si>
  <si>
    <t>на поддержку мер по обеспечению сбалансированности бюджетов</t>
  </si>
  <si>
    <t>000 202 90024 10 0000 150</t>
  </si>
  <si>
    <t>Прочие безвозмездные поступления в бюджеты сельских поселений от бюджетов субъектов Российской Федерации</t>
  </si>
  <si>
    <t>000 2 07 00000 10 0000 150</t>
  </si>
  <si>
    <t>ПРОЧИЕ БЕЗВОЗМЕЗДНЫЕ ПОСТУПЛЕНИЯ</t>
  </si>
  <si>
    <t>650 2 07 05000 10 0000 150/155</t>
  </si>
  <si>
    <t>Прочие безвозмездные поступления в бюджеты сельских поселений</t>
  </si>
  <si>
    <t>000 2 07 10100 10 0000 196/195</t>
  </si>
  <si>
    <t xml:space="preserve">Безвозмездные межбюджетные неденежные поступления в бюджеты сельских поселений
/ капитального характера от сектора государственного управления и организаций государственного сектора
</t>
  </si>
  <si>
    <t>000 2 07 10050 10 0000 180/191</t>
  </si>
  <si>
    <t xml:space="preserve">Прочие безвозмездные неденежные поступления в бюджеты сельских поселений/ текущего характера от сектора государственного управления и организаций государственного сектора
</t>
  </si>
  <si>
    <t>000 2 07 10100 10 0000 199/199</t>
  </si>
  <si>
    <t xml:space="preserve">Прочие безвозмездные неденежные поступления в бюджеты сельских поселений
/Прочие неденежные безвозмездные поступления
</t>
  </si>
  <si>
    <t>650 2 19 05000 10 0000 150</t>
  </si>
  <si>
    <t>Возврат остатков субсидий, субвенций и иных межбюджетных трансфертов, имеющих целевое значение, прошлых лет из бюджетов сельских поселений</t>
  </si>
  <si>
    <t>ВСЕГО ДОХОДОВ</t>
  </si>
  <si>
    <t xml:space="preserve">Доля дотаций из других бюджетов бюджетной системы Российской Федерации и (или) налоговых доходов по дополнительным нормативам отчислений в собственных доходах местного бюджета,  %
</t>
  </si>
  <si>
    <t>Приложение №1</t>
  </si>
  <si>
    <t>Приложение №2</t>
  </si>
  <si>
    <t xml:space="preserve">Анализ расходов  бюджета поселения Перегребное по разделам и подразделам классификации расходов бюджета </t>
  </si>
  <si>
    <t>Наименование</t>
  </si>
  <si>
    <t>Рз</t>
  </si>
  <si>
    <t>ПР</t>
  </si>
  <si>
    <t xml:space="preserve">Исполнение бюджета за 2011 год </t>
  </si>
  <si>
    <t>Исполнение бюджета за 2012 год</t>
  </si>
  <si>
    <t>Исполнение за 2013 год</t>
  </si>
  <si>
    <t>Исполнение за 2014 год</t>
  </si>
  <si>
    <t>Исполнение за 2015 год</t>
  </si>
  <si>
    <t>Исполнение за 2016 год</t>
  </si>
  <si>
    <t>Исполнение за 2017 год</t>
  </si>
  <si>
    <t xml:space="preserve">Исполнение за 2018 год </t>
  </si>
  <si>
    <t>Исполнение за 2019 год</t>
  </si>
  <si>
    <t>Исполнение за 2020 год</t>
  </si>
  <si>
    <t>Исполнение за 2021 год</t>
  </si>
  <si>
    <t>РСД от 20.12.21 №41, на   2022 г.</t>
  </si>
  <si>
    <t>РСД от 14.06.22 №16</t>
  </si>
  <si>
    <t>РСД от 20.10.22 №26</t>
  </si>
  <si>
    <t>РСД от 23.12.22 №36</t>
  </si>
  <si>
    <t>Бюджетная роспись</t>
  </si>
  <si>
    <t>Исполнение за 2022 год</t>
  </si>
  <si>
    <t>РСД от 23.12.2022 № 37</t>
  </si>
  <si>
    <t>РСД от 08.09.23 № 36</t>
  </si>
  <si>
    <t>Ожидаемое исполнение 2023 год</t>
  </si>
  <si>
    <t>% ожидаемого исполнения от РСД №36</t>
  </si>
  <si>
    <t>% ожидаемого исполнения от РСД №37</t>
  </si>
  <si>
    <t>Структура оценки 2023 г.,%</t>
  </si>
  <si>
    <t>Проект на 2024 год</t>
  </si>
  <si>
    <t>Проект на 2025 год</t>
  </si>
  <si>
    <t>Проект на 2026 год</t>
  </si>
  <si>
    <t>Структура  2024 г.,      %</t>
  </si>
  <si>
    <t>Структура  2025 г.,      %</t>
  </si>
  <si>
    <t>Структура  2026 г.,         %</t>
  </si>
  <si>
    <t>Общегосударственные вопросы</t>
  </si>
  <si>
    <t>01</t>
  </si>
  <si>
    <t>03</t>
  </si>
  <si>
    <t>10</t>
  </si>
  <si>
    <t>32</t>
  </si>
  <si>
    <t>50</t>
  </si>
  <si>
    <t>Функционирование высшего должностного лица муниципального образования</t>
  </si>
  <si>
    <t>02</t>
  </si>
  <si>
    <t>3322,89</t>
  </si>
  <si>
    <t>Функционирование местных администраций</t>
  </si>
  <si>
    <t>04</t>
  </si>
  <si>
    <t>6503,527</t>
  </si>
  <si>
    <t>06</t>
  </si>
  <si>
    <t>Обеспечение проведения выборов и референдумов</t>
  </si>
  <si>
    <t>07</t>
  </si>
  <si>
    <t>0</t>
  </si>
  <si>
    <t>Резервные фонды</t>
  </si>
  <si>
    <t>11</t>
  </si>
  <si>
    <t>Другие общегосударственные вопросы</t>
  </si>
  <si>
    <t>13</t>
  </si>
  <si>
    <t>2003,602</t>
  </si>
  <si>
    <t>Национальная оборона</t>
  </si>
  <si>
    <t>Мобилизационная  и вневойсковая подготовка</t>
  </si>
  <si>
    <t>356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</si>
  <si>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</si>
  <si>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</si>
  <si>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</si>
  <si>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</si>
  <si>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194,186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</si>
  <si>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</si>
  <si>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</si>
  <si>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</si>
  <si>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</si>
  <si>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</si>
  <si>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1135,431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</si>
  <si>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</si>
  <si>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</si>
  <si>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</si>
  <si>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</si>
  <si>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</si>
  <si>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Связь и информатика</t>
  </si>
  <si>
    <t>242,937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</si>
  <si>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</si>
  <si>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</si>
  <si>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</si>
  <si>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</si>
  <si>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3686,296</t>
  </si>
  <si>
    <t>Коммунальное  хозяйство</t>
  </si>
  <si>
    <t>390,11</t>
  </si>
  <si>
    <t>Благоустройство</t>
  </si>
  <si>
    <t>9518,917</t>
  </si>
  <si>
    <t>Охрана окружающей среды</t>
  </si>
  <si>
    <t>Другие вопросы в области охраны окружающей среды</t>
  </si>
  <si>
    <t>Образование</t>
  </si>
  <si>
    <t>Молодежная политика и оздоровление детей</t>
  </si>
  <si>
    <t xml:space="preserve">Культура, кинематография </t>
  </si>
  <si>
    <t xml:space="preserve">Культура </t>
  </si>
  <si>
    <t>5841,781</t>
  </si>
  <si>
    <t>Кинематография</t>
  </si>
  <si>
    <t>120,037</t>
  </si>
  <si>
    <t>Другие вопросы в области социальной политики</t>
  </si>
  <si>
    <t>Здравоохранение</t>
  </si>
  <si>
    <t>Санитарно - эпидемиологическое благополучие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</si>
  <si>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</si>
  <si>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</si>
  <si>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</si>
  <si>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</si>
  <si>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34,376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</si>
  <si>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</si>
  <si>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</si>
  <si>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Прочие межбюджетные трансферты общего характера</t>
  </si>
  <si>
    <t>ВСЕГО</t>
  </si>
  <si>
    <t>Обеспечение деятельности финансовых, налоговых и таможенных органов и органов ифнансового (финансово - бюджетного) надзора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</si>
</sst>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#,##0.0_р_."/>
    <numFmt numFmtId="165" formatCode="0.0"/>
    <numFmt numFmtId="166" formatCode="#,##0.0"/>
    <numFmt numFmtId="167" formatCode="#,##0_р_."/>
    <numFmt numFmtId="168" formatCode="_-* #,##0.0\ _₽_-;\-* #,##0.0\ _₽_-;_-* &quot;-&quot;??\ _₽_-;_-@_-"/>
    <numFmt numFmtId="169" formatCode="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 Cyr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indexed="8"/>
      <name val="Calibri"/>
      <family val="2"/>
    </font>
    <font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21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Fill="1"/>
    <xf numFmtId="0" fontId="5" fillId="0" borderId="0" xfId="1" applyFont="1" applyFill="1" applyAlignment="1" applyProtection="1">
      <protection hidden="1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0" fontId="0" fillId="0" borderId="0" xfId="0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9" fillId="0" borderId="0" xfId="0" applyFont="1" applyFill="1" applyAlignment="1">
      <alignment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14" fillId="0" borderId="2" xfId="0" applyFont="1" applyFill="1" applyBorder="1" applyAlignment="1">
      <alignment horizontal="justify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165" fontId="14" fillId="0" borderId="7" xfId="0" applyNumberFormat="1" applyFont="1" applyFill="1" applyBorder="1" applyAlignment="1">
      <alignment horizontal="center"/>
    </xf>
    <xf numFmtId="165" fontId="14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justify" vertical="top" wrapText="1"/>
    </xf>
    <xf numFmtId="0" fontId="17" fillId="0" borderId="0" xfId="0" applyFont="1" applyFill="1"/>
    <xf numFmtId="0" fontId="14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justify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166" fontId="0" fillId="0" borderId="0" xfId="0" applyNumberFormat="1" applyFill="1"/>
    <xf numFmtId="0" fontId="14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Font="1" applyFill="1" applyAlignment="1">
      <alignment wrapText="1"/>
    </xf>
    <xf numFmtId="0" fontId="6" fillId="0" borderId="0" xfId="0" applyFont="1" applyFill="1" applyAlignment="1">
      <alignment vertical="top" wrapText="1"/>
    </xf>
    <xf numFmtId="167" fontId="14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23" fillId="0" borderId="0" xfId="34" applyFont="1"/>
    <xf numFmtId="0" fontId="11" fillId="3" borderId="0" xfId="34" applyFont="1" applyFill="1" applyAlignment="1">
      <alignment horizontal="center" vertical="center"/>
    </xf>
    <xf numFmtId="0" fontId="11" fillId="3" borderId="0" xfId="34" applyFont="1" applyFill="1"/>
    <xf numFmtId="0" fontId="23" fillId="3" borderId="0" xfId="34" applyFont="1" applyFill="1" applyAlignment="1">
      <alignment horizontal="center" vertical="center"/>
    </xf>
    <xf numFmtId="0" fontId="23" fillId="3" borderId="0" xfId="34" applyFont="1" applyFill="1"/>
    <xf numFmtId="0" fontId="23" fillId="3" borderId="0" xfId="34" applyFont="1" applyFill="1" applyAlignment="1">
      <alignment vertical="top"/>
    </xf>
    <xf numFmtId="0" fontId="13" fillId="3" borderId="8" xfId="28" applyFont="1" applyFill="1" applyBorder="1" applyAlignment="1">
      <alignment horizontal="center" vertical="center"/>
    </xf>
    <xf numFmtId="0" fontId="24" fillId="3" borderId="2" xfId="28" applyFont="1" applyFill="1" applyBorder="1" applyAlignment="1">
      <alignment horizontal="center" vertical="center" wrapText="1"/>
    </xf>
    <xf numFmtId="0" fontId="24" fillId="3" borderId="1" xfId="28" applyFont="1" applyFill="1" applyBorder="1" applyAlignment="1">
      <alignment horizontal="center" vertical="center" wrapText="1"/>
    </xf>
    <xf numFmtId="0" fontId="24" fillId="3" borderId="2" xfId="34" applyFont="1" applyFill="1" applyBorder="1" applyAlignment="1">
      <alignment horizontal="center" vertical="center" wrapText="1"/>
    </xf>
    <xf numFmtId="0" fontId="24" fillId="3" borderId="2" xfId="35" applyFont="1" applyFill="1" applyBorder="1" applyAlignment="1">
      <alignment horizontal="center" vertical="center" wrapText="1"/>
    </xf>
    <xf numFmtId="165" fontId="24" fillId="3" borderId="1" xfId="36" applyNumberFormat="1" applyFont="1" applyFill="1" applyBorder="1" applyAlignment="1">
      <alignment horizontal="center" vertical="center" wrapText="1"/>
    </xf>
    <xf numFmtId="0" fontId="24" fillId="3" borderId="2" xfId="37" applyNumberFormat="1" applyFont="1" applyFill="1" applyBorder="1" applyAlignment="1" applyProtection="1">
      <alignment horizontal="center" vertical="center" wrapText="1"/>
      <protection hidden="1"/>
    </xf>
    <xf numFmtId="165" fontId="24" fillId="3" borderId="2" xfId="36" applyNumberFormat="1" applyFont="1" applyFill="1" applyBorder="1" applyAlignment="1">
      <alignment horizontal="center" vertical="center" wrapText="1"/>
    </xf>
    <xf numFmtId="0" fontId="24" fillId="3" borderId="2" xfId="36" applyFont="1" applyFill="1" applyBorder="1" applyAlignment="1">
      <alignment horizontal="center" vertical="center" wrapText="1"/>
    </xf>
    <xf numFmtId="168" fontId="25" fillId="3" borderId="2" xfId="33" applyNumberFormat="1" applyFont="1" applyFill="1" applyBorder="1" applyAlignment="1">
      <alignment horizontal="center" vertical="center" wrapText="1"/>
    </xf>
    <xf numFmtId="0" fontId="25" fillId="2" borderId="0" xfId="34" applyFont="1" applyFill="1" applyAlignment="1">
      <alignment horizontal="center" vertical="center"/>
    </xf>
    <xf numFmtId="0" fontId="13" fillId="3" borderId="2" xfId="34" applyFont="1" applyFill="1" applyBorder="1" applyAlignment="1">
      <alignment horizontal="left" vertical="center" wrapText="1"/>
    </xf>
    <xf numFmtId="49" fontId="13" fillId="3" borderId="2" xfId="34" applyNumberFormat="1" applyFont="1" applyFill="1" applyBorder="1" applyAlignment="1">
      <alignment horizontal="center" vertical="center" wrapText="1"/>
    </xf>
    <xf numFmtId="165" fontId="13" fillId="3" borderId="2" xfId="34" applyNumberFormat="1" applyFont="1" applyFill="1" applyBorder="1" applyAlignment="1">
      <alignment horizontal="center" vertical="center" wrapText="1"/>
    </xf>
    <xf numFmtId="0" fontId="26" fillId="2" borderId="0" xfId="34" applyFont="1" applyFill="1"/>
    <xf numFmtId="0" fontId="11" fillId="3" borderId="2" xfId="34" applyFont="1" applyFill="1" applyBorder="1" applyAlignment="1">
      <alignment horizontal="left" vertical="center" wrapText="1"/>
    </xf>
    <xf numFmtId="49" fontId="11" fillId="3" borderId="2" xfId="34" applyNumberFormat="1" applyFont="1" applyFill="1" applyBorder="1" applyAlignment="1">
      <alignment horizontal="center" vertical="center" wrapText="1"/>
    </xf>
    <xf numFmtId="164" fontId="11" fillId="3" borderId="2" xfId="34" applyNumberFormat="1" applyFont="1" applyFill="1" applyBorder="1" applyAlignment="1">
      <alignment horizontal="center" vertical="center" wrapText="1"/>
    </xf>
    <xf numFmtId="165" fontId="23" fillId="3" borderId="2" xfId="34" applyNumberFormat="1" applyFont="1" applyFill="1" applyBorder="1" applyAlignment="1">
      <alignment horizontal="center" vertical="center"/>
    </xf>
    <xf numFmtId="0" fontId="23" fillId="3" borderId="2" xfId="34" applyFont="1" applyFill="1" applyBorder="1" applyAlignment="1">
      <alignment horizontal="center" vertical="center"/>
    </xf>
    <xf numFmtId="165" fontId="11" fillId="3" borderId="2" xfId="34" applyNumberFormat="1" applyFont="1" applyFill="1" applyBorder="1" applyAlignment="1">
      <alignment horizontal="center" vertical="center"/>
    </xf>
    <xf numFmtId="165" fontId="11" fillId="3" borderId="2" xfId="34" applyNumberFormat="1" applyFont="1" applyFill="1" applyBorder="1" applyAlignment="1">
      <alignment horizontal="center" vertical="center" wrapText="1"/>
    </xf>
    <xf numFmtId="0" fontId="23" fillId="2" borderId="0" xfId="34" applyFont="1" applyFill="1"/>
    <xf numFmtId="164" fontId="13" fillId="3" borderId="2" xfId="34" applyNumberFormat="1" applyFont="1" applyFill="1" applyBorder="1" applyAlignment="1">
      <alignment horizontal="center" vertical="center" wrapText="1"/>
    </xf>
    <xf numFmtId="0" fontId="11" fillId="3" borderId="2" xfId="34" applyFont="1" applyFill="1" applyBorder="1" applyAlignment="1">
      <alignment vertical="center"/>
    </xf>
    <xf numFmtId="0" fontId="23" fillId="3" borderId="2" xfId="34" applyFont="1" applyFill="1" applyBorder="1" applyAlignment="1">
      <alignment horizontal="left" vertical="center" wrapText="1"/>
    </xf>
    <xf numFmtId="164" fontId="23" fillId="3" borderId="2" xfId="34" applyNumberFormat="1" applyFont="1" applyFill="1" applyBorder="1" applyAlignment="1">
      <alignment horizontal="center" vertical="center"/>
    </xf>
    <xf numFmtId="165" fontId="13" fillId="3" borderId="2" xfId="34" applyNumberFormat="1" applyFont="1" applyFill="1" applyBorder="1" applyAlignment="1">
      <alignment horizontal="center" vertical="center"/>
    </xf>
    <xf numFmtId="0" fontId="11" fillId="3" borderId="2" xfId="36" applyNumberFormat="1" applyFont="1" applyFill="1" applyBorder="1" applyAlignment="1" applyProtection="1">
      <alignment horizontal="left" vertical="center" wrapText="1"/>
      <protection hidden="1"/>
    </xf>
    <xf numFmtId="0" fontId="13" fillId="3" borderId="2" xfId="13" applyNumberFormat="1" applyFont="1" applyFill="1" applyBorder="1" applyAlignment="1" applyProtection="1">
      <alignment vertical="center" wrapText="1"/>
      <protection hidden="1"/>
    </xf>
    <xf numFmtId="169" fontId="13" fillId="3" borderId="2" xfId="13" applyNumberFormat="1" applyFont="1" applyFill="1" applyBorder="1" applyAlignment="1" applyProtection="1">
      <alignment horizontal="center" vertical="center"/>
      <protection hidden="1"/>
    </xf>
    <xf numFmtId="164" fontId="26" fillId="3" borderId="2" xfId="34" applyNumberFormat="1" applyFont="1" applyFill="1" applyBorder="1" applyAlignment="1">
      <alignment horizontal="center" vertical="center"/>
    </xf>
    <xf numFmtId="0" fontId="26" fillId="3" borderId="2" xfId="34" applyFont="1" applyFill="1" applyBorder="1" applyAlignment="1">
      <alignment horizontal="center" vertical="center"/>
    </xf>
    <xf numFmtId="165" fontId="26" fillId="3" borderId="2" xfId="34" applyNumberFormat="1" applyFont="1" applyFill="1" applyBorder="1" applyAlignment="1">
      <alignment horizontal="center" vertical="center"/>
    </xf>
    <xf numFmtId="0" fontId="11" fillId="3" borderId="2" xfId="13" applyNumberFormat="1" applyFont="1" applyFill="1" applyBorder="1" applyAlignment="1" applyProtection="1">
      <alignment wrapText="1"/>
      <protection hidden="1"/>
    </xf>
    <xf numFmtId="169" fontId="11" fillId="3" borderId="2" xfId="13" applyNumberFormat="1" applyFont="1" applyFill="1" applyBorder="1" applyAlignment="1" applyProtection="1">
      <alignment horizontal="center" vertical="center"/>
      <protection hidden="1"/>
    </xf>
    <xf numFmtId="0" fontId="26" fillId="3" borderId="2" xfId="34" applyFont="1" applyFill="1" applyBorder="1" applyAlignment="1">
      <alignment horizontal="left" vertical="center" wrapText="1"/>
    </xf>
    <xf numFmtId="2" fontId="11" fillId="3" borderId="2" xfId="34" applyNumberFormat="1" applyFont="1" applyFill="1" applyBorder="1" applyAlignment="1">
      <alignment horizontal="center" vertical="center" wrapText="1"/>
    </xf>
    <xf numFmtId="2" fontId="13" fillId="3" borderId="2" xfId="34" applyNumberFormat="1" applyFont="1" applyFill="1" applyBorder="1" applyAlignment="1">
      <alignment horizontal="center" vertical="center" wrapText="1"/>
    </xf>
    <xf numFmtId="0" fontId="11" fillId="3" borderId="1" xfId="34" applyFont="1" applyFill="1" applyBorder="1" applyAlignment="1">
      <alignment horizontal="left" vertical="center" wrapText="1"/>
    </xf>
    <xf numFmtId="0" fontId="11" fillId="3" borderId="1" xfId="1" applyNumberFormat="1" applyFont="1" applyFill="1" applyBorder="1" applyAlignment="1" applyProtection="1">
      <alignment horizontal="left" vertical="center" wrapText="1"/>
      <protection hidden="1"/>
    </xf>
    <xf numFmtId="169" fontId="11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2" xfId="1" applyNumberFormat="1" applyFont="1" applyFill="1" applyBorder="1" applyAlignment="1" applyProtection="1">
      <alignment horizontal="left" vertical="center" wrapText="1"/>
      <protection hidden="1"/>
    </xf>
    <xf numFmtId="49" fontId="13" fillId="3" borderId="6" xfId="34" applyNumberFormat="1" applyFont="1" applyFill="1" applyBorder="1" applyAlignment="1">
      <alignment horizontal="center" vertical="center" wrapText="1"/>
    </xf>
    <xf numFmtId="2" fontId="23" fillId="3" borderId="0" xfId="38" applyNumberFormat="1" applyFont="1" applyFill="1" applyAlignment="1">
      <alignment horizontal="center" vertical="center"/>
    </xf>
    <xf numFmtId="9" fontId="23" fillId="3" borderId="0" xfId="34" applyNumberFormat="1" applyFont="1" applyFill="1" applyAlignment="1">
      <alignment horizontal="center" vertical="center"/>
    </xf>
    <xf numFmtId="166" fontId="23" fillId="3" borderId="0" xfId="34" applyNumberFormat="1" applyFont="1" applyFill="1" applyAlignment="1">
      <alignment horizontal="center" vertical="center"/>
    </xf>
    <xf numFmtId="166" fontId="11" fillId="3" borderId="0" xfId="34" applyNumberFormat="1" applyFont="1" applyFill="1" applyAlignment="1">
      <alignment horizontal="center" vertical="center"/>
    </xf>
    <xf numFmtId="166" fontId="12" fillId="3" borderId="0" xfId="34" applyNumberFormat="1" applyFont="1" applyFill="1" applyAlignment="1">
      <alignment horizontal="center" vertical="center"/>
    </xf>
    <xf numFmtId="0" fontId="23" fillId="3" borderId="0" xfId="34" applyFont="1" applyFill="1" applyAlignment="1">
      <alignment horizontal="center"/>
    </xf>
    <xf numFmtId="0" fontId="11" fillId="3" borderId="0" xfId="28" applyFont="1" applyFill="1"/>
    <xf numFmtId="0" fontId="11" fillId="3" borderId="0" xfId="1" applyFont="1" applyFill="1" applyAlignment="1" applyProtection="1">
      <alignment horizontal="right"/>
      <protection hidden="1"/>
    </xf>
    <xf numFmtId="0" fontId="24" fillId="3" borderId="2" xfId="36" applyNumberFormat="1" applyFont="1" applyFill="1" applyBorder="1" applyAlignment="1" applyProtection="1">
      <alignment horizontal="center" vertical="center" wrapText="1"/>
      <protection hidden="1"/>
    </xf>
    <xf numFmtId="0" fontId="23" fillId="3" borderId="0" xfId="34" applyFont="1" applyFill="1" applyAlignment="1">
      <alignment horizontal="right" vertical="top"/>
    </xf>
  </cellXfs>
  <cellStyles count="39">
    <cellStyle name="Обычный" xfId="0" builtinId="0"/>
    <cellStyle name="Обычный 2" xfId="2"/>
    <cellStyle name="Обычный 2 10" xfId="3"/>
    <cellStyle name="Обычный 2 11" xfId="4"/>
    <cellStyle name="Обычный 2 12" xfId="5"/>
    <cellStyle name="Обычный 2 13" xfId="6"/>
    <cellStyle name="Обычный 2 14" xfId="7"/>
    <cellStyle name="Обычный 2 15" xfId="8"/>
    <cellStyle name="Обычный 2 16" xfId="9"/>
    <cellStyle name="Обычный 2 17" xfId="10"/>
    <cellStyle name="Обычный 2 18" xfId="11"/>
    <cellStyle name="Обычный 2 19" xfId="12"/>
    <cellStyle name="Обычный 2 2" xfId="13"/>
    <cellStyle name="Обычный 2 20" xfId="14"/>
    <cellStyle name="Обычный 2 21" xfId="15"/>
    <cellStyle name="Обычный 2 22" xfId="16"/>
    <cellStyle name="Обычный 2 22 2" xfId="34"/>
    <cellStyle name="Обычный 2 23" xfId="17"/>
    <cellStyle name="Обычный 2 24" xfId="18"/>
    <cellStyle name="Обычный 2 25" xfId="19"/>
    <cellStyle name="Обычный 2 3" xfId="20"/>
    <cellStyle name="Обычный 2 4" xfId="21"/>
    <cellStyle name="Обычный 2 5" xfId="22"/>
    <cellStyle name="Обычный 2 6" xfId="23"/>
    <cellStyle name="Обычный 2 7" xfId="24"/>
    <cellStyle name="Обычный 2 8" xfId="25"/>
    <cellStyle name="Обычный 2 9" xfId="26"/>
    <cellStyle name="Обычный 3" xfId="27"/>
    <cellStyle name="Обычный 3 2" xfId="35"/>
    <cellStyle name="Обычный 5" xfId="28"/>
    <cellStyle name="Обычный 6" xfId="29"/>
    <cellStyle name="Обычный 7" xfId="30"/>
    <cellStyle name="Обычный_Tmp2" xfId="1"/>
    <cellStyle name="Обычный_Tmp7" xfId="36"/>
    <cellStyle name="Обычный_Tmp7 2" xfId="37"/>
    <cellStyle name="Процентный 2" xfId="31"/>
    <cellStyle name="Процентный 2 2" xfId="32"/>
    <cellStyle name="Процентный 3" xfId="38"/>
    <cellStyle name="Финансовый" xfId="3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Z132"/>
  <sheetViews>
    <sheetView workbookViewId="0">
      <pane xSplit="2" ySplit="6" topLeftCell="AV34" activePane="bottomRight" state="frozen"/>
      <selection pane="topRight" activeCell="C1" sqref="C1"/>
      <selection pane="bottomLeft" activeCell="A6" sqref="A6"/>
      <selection pane="bottomRight" activeCell="A123" sqref="A123:B123"/>
    </sheetView>
  </sheetViews>
  <sheetFormatPr defaultRowHeight="22.5" customHeight="1" x14ac:dyDescent="0.25"/>
  <cols>
    <col min="1" max="1" width="15.140625" style="1" customWidth="1"/>
    <col min="2" max="2" width="47.5703125" style="1" customWidth="1"/>
    <col min="3" max="5" width="9.42578125" style="1" hidden="1" customWidth="1"/>
    <col min="6" max="6" width="12.5703125" style="1" hidden="1" customWidth="1"/>
    <col min="7" max="7" width="9.5703125" style="1" hidden="1" customWidth="1"/>
    <col min="8" max="8" width="12" style="1" hidden="1" customWidth="1"/>
    <col min="9" max="9" width="12.5703125" style="1" hidden="1" customWidth="1"/>
    <col min="10" max="10" width="9.5703125" style="1" hidden="1" customWidth="1"/>
    <col min="11" max="11" width="12" style="1" hidden="1" customWidth="1"/>
    <col min="12" max="12" width="8.85546875" style="1" hidden="1" customWidth="1"/>
    <col min="13" max="13" width="12.5703125" style="1" hidden="1" customWidth="1"/>
    <col min="14" max="14" width="9.5703125" style="1" hidden="1" customWidth="1"/>
    <col min="15" max="15" width="12" style="1" hidden="1" customWidth="1"/>
    <col min="16" max="16" width="9.85546875" style="1" hidden="1" customWidth="1"/>
    <col min="17" max="17" width="12.5703125" style="1" hidden="1" customWidth="1"/>
    <col min="18" max="18" width="9.5703125" style="1" hidden="1" customWidth="1"/>
    <col min="19" max="19" width="12" style="1" hidden="1" customWidth="1"/>
    <col min="20" max="20" width="9.7109375" style="1" hidden="1" customWidth="1"/>
    <col min="21" max="21" width="12.140625" style="1" hidden="1" customWidth="1"/>
    <col min="22" max="23" width="11" style="1" hidden="1" customWidth="1"/>
    <col min="24" max="24" width="10.42578125" style="1" hidden="1" customWidth="1"/>
    <col min="25" max="25" width="9.28515625" style="1" hidden="1" customWidth="1"/>
    <col min="26" max="26" width="10.5703125" style="1" hidden="1" customWidth="1"/>
    <col min="27" max="27" width="8.42578125" style="1" hidden="1" customWidth="1"/>
    <col min="28" max="28" width="10.7109375" style="1" hidden="1" customWidth="1"/>
    <col min="29" max="29" width="10.85546875" style="1" hidden="1" customWidth="1"/>
    <col min="30" max="31" width="10.7109375" style="1" hidden="1" customWidth="1"/>
    <col min="32" max="32" width="8.42578125" style="1" hidden="1" customWidth="1"/>
    <col min="33" max="34" width="10.7109375" style="1" hidden="1" customWidth="1"/>
    <col min="35" max="36" width="10.5703125" style="1" hidden="1" customWidth="1"/>
    <col min="37" max="37" width="10.140625" style="1" hidden="1" customWidth="1"/>
    <col min="38" max="38" width="10" style="1" hidden="1" customWidth="1"/>
    <col min="39" max="39" width="10.85546875" style="1" hidden="1" customWidth="1"/>
    <col min="40" max="40" width="10.7109375" style="1" hidden="1" customWidth="1"/>
    <col min="41" max="41" width="7.140625" style="1" hidden="1" customWidth="1"/>
    <col min="42" max="42" width="9" style="1" hidden="1" customWidth="1"/>
    <col min="43" max="43" width="9.140625" style="1" hidden="1" customWidth="1"/>
    <col min="44" max="44" width="9.7109375" style="1" hidden="1" customWidth="1"/>
    <col min="45" max="45" width="9" style="1" hidden="1" customWidth="1"/>
    <col min="46" max="46" width="5.85546875" style="1" hidden="1" customWidth="1"/>
    <col min="47" max="47" width="6.85546875" style="1" hidden="1" customWidth="1"/>
    <col min="48" max="48" width="8.7109375" style="1" customWidth="1"/>
    <col min="49" max="49" width="11.5703125" style="1" hidden="1" customWidth="1"/>
    <col min="50" max="50" width="9.140625" style="1" hidden="1" customWidth="1"/>
    <col min="51" max="52" width="9.42578125" style="1" hidden="1" customWidth="1"/>
    <col min="53" max="54" width="10.5703125" style="1" hidden="1" customWidth="1"/>
    <col min="55" max="56" width="10.42578125" style="1" hidden="1" customWidth="1"/>
    <col min="57" max="57" width="9.140625" style="1" customWidth="1"/>
    <col min="58" max="58" width="11.5703125" style="1" hidden="1" customWidth="1"/>
    <col min="59" max="59" width="6.85546875" style="26" customWidth="1"/>
    <col min="60" max="60" width="8.85546875" style="1" hidden="1" customWidth="1"/>
    <col min="61" max="61" width="4.140625" style="1" hidden="1" customWidth="1"/>
    <col min="62" max="62" width="8.7109375" style="1" hidden="1" customWidth="1"/>
    <col min="63" max="65" width="10.5703125" style="1" hidden="1" customWidth="1"/>
    <col min="66" max="66" width="11.7109375" style="4" hidden="1" customWidth="1"/>
    <col min="67" max="67" width="10.5703125" style="1" hidden="1" customWidth="1"/>
    <col min="68" max="68" width="10.42578125" style="1" customWidth="1"/>
    <col min="69" max="69" width="7.140625" style="1" customWidth="1"/>
    <col min="70" max="70" width="8.5703125" style="1" customWidth="1"/>
    <col min="71" max="71" width="7.140625" style="1" customWidth="1"/>
    <col min="72" max="72" width="6.7109375" style="1" customWidth="1"/>
    <col min="73" max="73" width="9.140625" style="1" customWidth="1"/>
    <col min="74" max="74" width="6.5703125" style="1" customWidth="1"/>
    <col min="75" max="75" width="6.7109375" style="1" customWidth="1"/>
    <col min="76" max="76" width="8.7109375" style="1" customWidth="1"/>
    <col min="77" max="77" width="6.140625" style="1" customWidth="1"/>
    <col min="78" max="16384" width="9.140625" style="1"/>
  </cols>
  <sheetData>
    <row r="1" spans="1:78" ht="20.2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3"/>
      <c r="BA1" s="3"/>
      <c r="BB1" s="3"/>
      <c r="BC1" s="3"/>
      <c r="BD1" s="3"/>
      <c r="BE1" s="3"/>
      <c r="BF1" s="2"/>
      <c r="BG1" s="3"/>
      <c r="BH1" s="3"/>
      <c r="BK1" s="3"/>
      <c r="BL1" s="3"/>
      <c r="BM1" s="3"/>
      <c r="BO1" s="3"/>
      <c r="BP1" s="3"/>
      <c r="BQ1" s="3"/>
      <c r="BR1" s="3"/>
      <c r="BS1" s="3"/>
      <c r="BT1" s="3"/>
      <c r="BV1" s="1" t="s">
        <v>264</v>
      </c>
    </row>
    <row r="2" spans="1:78" ht="8.25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3"/>
      <c r="BA2" s="3"/>
      <c r="BB2" s="3"/>
      <c r="BC2" s="3"/>
      <c r="BD2" s="3"/>
      <c r="BE2" s="3"/>
      <c r="BF2" s="2"/>
      <c r="BG2" s="3"/>
      <c r="BH2" s="3"/>
      <c r="BK2" s="3"/>
      <c r="BL2" s="3"/>
      <c r="BM2" s="3"/>
      <c r="BO2" s="3"/>
      <c r="BP2" s="3"/>
      <c r="BQ2" s="3"/>
      <c r="BR2" s="3"/>
      <c r="BS2" s="3"/>
      <c r="BT2" s="3"/>
    </row>
    <row r="3" spans="1:78" s="5" customFormat="1" ht="17.25" customHeight="1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 t="s">
        <v>0</v>
      </c>
      <c r="AW3" s="6"/>
      <c r="AX3" s="6"/>
      <c r="AY3" s="6"/>
      <c r="AZ3" s="6"/>
      <c r="BA3" s="6"/>
      <c r="BB3" s="6"/>
      <c r="BC3" s="6"/>
      <c r="BD3" s="6"/>
      <c r="BF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</row>
    <row r="4" spans="1:78" s="5" customFormat="1" ht="7.5" customHeight="1" x14ac:dyDescent="0.25">
      <c r="B4" s="7"/>
      <c r="C4" s="7"/>
      <c r="D4" s="7"/>
      <c r="E4" s="7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9"/>
      <c r="BH4" s="8"/>
      <c r="BI4" s="8"/>
      <c r="BJ4" s="8"/>
      <c r="BK4" s="8"/>
      <c r="BL4" s="8"/>
      <c r="BM4" s="8"/>
      <c r="BN4" s="10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</row>
    <row r="5" spans="1:78" ht="11.25" customHeight="1" x14ac:dyDescent="0.25">
      <c r="A5" s="58" t="s">
        <v>1</v>
      </c>
      <c r="B5" s="58" t="s">
        <v>2</v>
      </c>
      <c r="C5" s="11" t="s">
        <v>3</v>
      </c>
      <c r="D5" s="12" t="s">
        <v>4</v>
      </c>
      <c r="E5" s="11" t="s">
        <v>5</v>
      </c>
      <c r="F5" s="11" t="s">
        <v>6</v>
      </c>
      <c r="G5" s="12" t="s">
        <v>7</v>
      </c>
      <c r="H5" s="11" t="s">
        <v>8</v>
      </c>
      <c r="I5" s="11" t="s">
        <v>9</v>
      </c>
      <c r="J5" s="12" t="s">
        <v>10</v>
      </c>
      <c r="K5" s="11" t="s">
        <v>11</v>
      </c>
      <c r="L5" s="11" t="s">
        <v>12</v>
      </c>
      <c r="M5" s="13" t="s">
        <v>13</v>
      </c>
      <c r="N5" s="14" t="s">
        <v>14</v>
      </c>
      <c r="O5" s="11" t="s">
        <v>15</v>
      </c>
      <c r="P5" s="13" t="s">
        <v>16</v>
      </c>
      <c r="Q5" s="13" t="s">
        <v>17</v>
      </c>
      <c r="R5" s="14" t="s">
        <v>18</v>
      </c>
      <c r="S5" s="11" t="s">
        <v>19</v>
      </c>
      <c r="T5" s="13" t="s">
        <v>20</v>
      </c>
      <c r="U5" s="13" t="s">
        <v>21</v>
      </c>
      <c r="V5" s="14" t="s">
        <v>22</v>
      </c>
      <c r="W5" s="11" t="s">
        <v>23</v>
      </c>
      <c r="X5" s="13" t="s">
        <v>24</v>
      </c>
      <c r="Y5" s="13" t="s">
        <v>25</v>
      </c>
      <c r="Z5" s="14" t="s">
        <v>26</v>
      </c>
      <c r="AA5" s="11" t="s">
        <v>27</v>
      </c>
      <c r="AB5" s="13" t="s">
        <v>28</v>
      </c>
      <c r="AC5" s="13" t="s">
        <v>29</v>
      </c>
      <c r="AD5" s="14" t="s">
        <v>30</v>
      </c>
      <c r="AE5" s="11" t="s">
        <v>31</v>
      </c>
      <c r="AF5" s="13" t="s">
        <v>32</v>
      </c>
      <c r="AG5" s="13" t="s">
        <v>33</v>
      </c>
      <c r="AH5" s="15" t="s">
        <v>34</v>
      </c>
      <c r="AI5" s="16"/>
      <c r="AJ5" s="17"/>
      <c r="AK5" s="11" t="s">
        <v>35</v>
      </c>
      <c r="AL5" s="48" t="s">
        <v>36</v>
      </c>
      <c r="AM5" s="13" t="s">
        <v>37</v>
      </c>
      <c r="AN5" s="11" t="s">
        <v>38</v>
      </c>
      <c r="AO5" s="11"/>
      <c r="AP5" s="11"/>
      <c r="AQ5" s="11" t="s">
        <v>39</v>
      </c>
      <c r="AR5" s="11" t="s">
        <v>40</v>
      </c>
      <c r="AS5" s="11" t="s">
        <v>41</v>
      </c>
      <c r="AT5" s="11" t="s">
        <v>42</v>
      </c>
      <c r="AU5" s="11" t="s">
        <v>43</v>
      </c>
      <c r="AV5" s="48" t="s">
        <v>44</v>
      </c>
      <c r="AW5" s="13" t="s">
        <v>45</v>
      </c>
      <c r="AX5" s="53" t="s">
        <v>46</v>
      </c>
      <c r="AY5" s="54"/>
      <c r="AZ5" s="55"/>
      <c r="BA5" s="11" t="s">
        <v>47</v>
      </c>
      <c r="BB5" s="11" t="s">
        <v>48</v>
      </c>
      <c r="BC5" s="11" t="s">
        <v>49</v>
      </c>
      <c r="BD5" s="11" t="s">
        <v>50</v>
      </c>
      <c r="BE5" s="48" t="s">
        <v>51</v>
      </c>
      <c r="BF5" s="48" t="s">
        <v>52</v>
      </c>
      <c r="BG5" s="48" t="s">
        <v>53</v>
      </c>
      <c r="BH5" s="53" t="s">
        <v>54</v>
      </c>
      <c r="BI5" s="54"/>
      <c r="BJ5" s="55"/>
      <c r="BK5" s="48" t="s">
        <v>55</v>
      </c>
      <c r="BL5" s="48" t="s">
        <v>56</v>
      </c>
      <c r="BM5" s="13" t="s">
        <v>57</v>
      </c>
      <c r="BN5" s="56" t="s">
        <v>58</v>
      </c>
      <c r="BO5" s="13" t="s">
        <v>59</v>
      </c>
      <c r="BP5" s="48" t="s">
        <v>60</v>
      </c>
      <c r="BQ5" s="48" t="s">
        <v>61</v>
      </c>
      <c r="BR5" s="50" t="s">
        <v>62</v>
      </c>
      <c r="BS5" s="50"/>
      <c r="BT5" s="50"/>
      <c r="BU5" s="50"/>
      <c r="BV5" s="50"/>
      <c r="BW5" s="50"/>
      <c r="BX5" s="50"/>
      <c r="BY5" s="50"/>
    </row>
    <row r="6" spans="1:78" ht="35.25" customHeight="1" x14ac:dyDescent="0.25">
      <c r="A6" s="59"/>
      <c r="B6" s="59"/>
      <c r="C6" s="11"/>
      <c r="D6" s="11" t="s">
        <v>63</v>
      </c>
      <c r="E6" s="11" t="s">
        <v>64</v>
      </c>
      <c r="F6" s="11"/>
      <c r="G6" s="11" t="s">
        <v>63</v>
      </c>
      <c r="H6" s="11" t="s">
        <v>64</v>
      </c>
      <c r="I6" s="11"/>
      <c r="J6" s="11" t="s">
        <v>63</v>
      </c>
      <c r="K6" s="11" t="s">
        <v>64</v>
      </c>
      <c r="L6" s="11"/>
      <c r="M6" s="18"/>
      <c r="N6" s="11" t="s">
        <v>63</v>
      </c>
      <c r="O6" s="11" t="s">
        <v>64</v>
      </c>
      <c r="P6" s="18"/>
      <c r="Q6" s="18"/>
      <c r="R6" s="11" t="s">
        <v>63</v>
      </c>
      <c r="S6" s="11" t="s">
        <v>64</v>
      </c>
      <c r="T6" s="18"/>
      <c r="U6" s="18"/>
      <c r="V6" s="11" t="s">
        <v>63</v>
      </c>
      <c r="W6" s="11" t="s">
        <v>64</v>
      </c>
      <c r="X6" s="18"/>
      <c r="Y6" s="18"/>
      <c r="Z6" s="11" t="s">
        <v>63</v>
      </c>
      <c r="AA6" s="11" t="s">
        <v>64</v>
      </c>
      <c r="AB6" s="18"/>
      <c r="AC6" s="18"/>
      <c r="AD6" s="11" t="s">
        <v>63</v>
      </c>
      <c r="AE6" s="11" t="s">
        <v>64</v>
      </c>
      <c r="AF6" s="18"/>
      <c r="AG6" s="18"/>
      <c r="AH6" s="11" t="s">
        <v>65</v>
      </c>
      <c r="AI6" s="11" t="s">
        <v>66</v>
      </c>
      <c r="AJ6" s="11" t="s">
        <v>67</v>
      </c>
      <c r="AK6" s="11" t="s">
        <v>68</v>
      </c>
      <c r="AL6" s="49"/>
      <c r="AM6" s="18"/>
      <c r="AN6" s="11" t="s">
        <v>69</v>
      </c>
      <c r="AO6" s="11" t="s">
        <v>70</v>
      </c>
      <c r="AP6" s="11" t="s">
        <v>71</v>
      </c>
      <c r="AQ6" s="11" t="s">
        <v>69</v>
      </c>
      <c r="AR6" s="11" t="s">
        <v>69</v>
      </c>
      <c r="AS6" s="11">
        <v>2021</v>
      </c>
      <c r="AT6" s="11" t="s">
        <v>69</v>
      </c>
      <c r="AU6" s="18" t="s">
        <v>69</v>
      </c>
      <c r="AV6" s="49"/>
      <c r="AW6" s="18"/>
      <c r="AX6" s="11" t="s">
        <v>70</v>
      </c>
      <c r="AY6" s="11" t="s">
        <v>71</v>
      </c>
      <c r="AZ6" s="11" t="s">
        <v>72</v>
      </c>
      <c r="BA6" s="11" t="s">
        <v>70</v>
      </c>
      <c r="BB6" s="11" t="s">
        <v>70</v>
      </c>
      <c r="BC6" s="11" t="s">
        <v>70</v>
      </c>
      <c r="BD6" s="11" t="s">
        <v>70</v>
      </c>
      <c r="BE6" s="49"/>
      <c r="BF6" s="49"/>
      <c r="BG6" s="49"/>
      <c r="BH6" s="11">
        <v>2023</v>
      </c>
      <c r="BI6" s="18" t="s">
        <v>72</v>
      </c>
      <c r="BJ6" s="18" t="s">
        <v>73</v>
      </c>
      <c r="BK6" s="49"/>
      <c r="BL6" s="49"/>
      <c r="BM6" s="18" t="s">
        <v>71</v>
      </c>
      <c r="BN6" s="57"/>
      <c r="BO6" s="18" t="s">
        <v>71</v>
      </c>
      <c r="BP6" s="49"/>
      <c r="BQ6" s="49"/>
      <c r="BR6" s="11" t="s">
        <v>72</v>
      </c>
      <c r="BS6" s="18" t="s">
        <v>74</v>
      </c>
      <c r="BT6" s="18" t="s">
        <v>75</v>
      </c>
      <c r="BU6" s="18" t="s">
        <v>73</v>
      </c>
      <c r="BV6" s="18" t="s">
        <v>76</v>
      </c>
      <c r="BW6" s="18" t="s">
        <v>75</v>
      </c>
      <c r="BX6" s="18" t="s">
        <v>77</v>
      </c>
      <c r="BY6" s="18" t="s">
        <v>78</v>
      </c>
    </row>
    <row r="7" spans="1:78" ht="21.75" customHeight="1" x14ac:dyDescent="0.25">
      <c r="A7" s="19" t="s">
        <v>79</v>
      </c>
      <c r="B7" s="20" t="s">
        <v>80</v>
      </c>
      <c r="C7" s="21">
        <f t="shared" ref="C7:U7" si="0">C10+C22+C39+C34+C50+C46+C55+C64+C21</f>
        <v>16140.906929999997</v>
      </c>
      <c r="D7" s="21">
        <f t="shared" si="0"/>
        <v>13373</v>
      </c>
      <c r="E7" s="21">
        <f t="shared" si="0"/>
        <v>14647.999999999998</v>
      </c>
      <c r="F7" s="21">
        <f t="shared" si="0"/>
        <v>13763.941449999998</v>
      </c>
      <c r="G7" s="21">
        <f t="shared" si="0"/>
        <v>15260.5</v>
      </c>
      <c r="H7" s="21">
        <f t="shared" si="0"/>
        <v>15260.5</v>
      </c>
      <c r="I7" s="21">
        <f t="shared" si="0"/>
        <v>14448.493809999998</v>
      </c>
      <c r="J7" s="21">
        <f t="shared" si="0"/>
        <v>14576.5</v>
      </c>
      <c r="K7" s="21">
        <f t="shared" si="0"/>
        <v>14576.5</v>
      </c>
      <c r="L7" s="21">
        <f t="shared" si="0"/>
        <v>13989.008970000001</v>
      </c>
      <c r="M7" s="21">
        <f t="shared" si="0"/>
        <v>13980.341</v>
      </c>
      <c r="N7" s="21">
        <f t="shared" si="0"/>
        <v>15159.000000000002</v>
      </c>
      <c r="O7" s="21">
        <f t="shared" si="0"/>
        <v>14260.000000000002</v>
      </c>
      <c r="P7" s="21">
        <f t="shared" si="0"/>
        <v>13170.845810000001</v>
      </c>
      <c r="Q7" s="21">
        <f t="shared" si="0"/>
        <v>-30730.023000000001</v>
      </c>
      <c r="R7" s="21">
        <f t="shared" si="0"/>
        <v>13650</v>
      </c>
      <c r="S7" s="21">
        <f t="shared" si="0"/>
        <v>15389.800000000003</v>
      </c>
      <c r="T7" s="21">
        <f t="shared" si="0"/>
        <v>15451.032220000003</v>
      </c>
      <c r="U7" s="21">
        <f t="shared" si="0"/>
        <v>6904.7130200000001</v>
      </c>
      <c r="V7" s="21">
        <f t="shared" ref="V7:AU7" si="1">V10+V22+V39+V34+V50+V46+V55+V64+V21+V16</f>
        <v>18757.00201</v>
      </c>
      <c r="W7" s="21">
        <f t="shared" si="1"/>
        <v>19092.8</v>
      </c>
      <c r="X7" s="21">
        <f t="shared" si="1"/>
        <v>19252.400850000002</v>
      </c>
      <c r="Y7" s="21">
        <f t="shared" si="1"/>
        <v>19213.899510000003</v>
      </c>
      <c r="Z7" s="21">
        <f>Z10+Z22+Z39+Z34+Z50+Z46+Z55+Z64+Z21+Z16</f>
        <v>18388.702010000001</v>
      </c>
      <c r="AA7" s="21">
        <f>AA10+AA22+AA39+AA34+AA50+AA46+AA55+AA64+AA21+AA16</f>
        <v>20530.299999999996</v>
      </c>
      <c r="AB7" s="21">
        <f>AB10+AB22+AB39+AB34+AB50+AB46+AB55+AB64+AB21+AB16</f>
        <v>21906.476149999999</v>
      </c>
      <c r="AC7" s="21">
        <f>AC10+AC22+AC39+AC34+AC50+AC46+AC55+AC64+AC21+AC16</f>
        <v>24106.204109999995</v>
      </c>
      <c r="AD7" s="21">
        <f t="shared" si="1"/>
        <v>20058.202010000001</v>
      </c>
      <c r="AE7" s="21">
        <f t="shared" si="1"/>
        <v>22064.3</v>
      </c>
      <c r="AF7" s="21">
        <f t="shared" si="1"/>
        <v>22574.922399999996</v>
      </c>
      <c r="AG7" s="21">
        <f t="shared" si="1"/>
        <v>-9423.7916100000002</v>
      </c>
      <c r="AH7" s="21">
        <f t="shared" si="1"/>
        <v>21387.702010000001</v>
      </c>
      <c r="AI7" s="21">
        <f t="shared" si="1"/>
        <v>21279.802009999999</v>
      </c>
      <c r="AJ7" s="21">
        <f t="shared" si="1"/>
        <v>21315.802009999999</v>
      </c>
      <c r="AK7" s="21">
        <f t="shared" si="1"/>
        <v>22569.599999999999</v>
      </c>
      <c r="AL7" s="21">
        <f t="shared" si="1"/>
        <v>22645.173790000001</v>
      </c>
      <c r="AM7" s="21">
        <f t="shared" si="1"/>
        <v>102171.19170999998</v>
      </c>
      <c r="AN7" s="21">
        <f t="shared" si="1"/>
        <v>22876.902010000002</v>
      </c>
      <c r="AO7" s="21">
        <f t="shared" si="1"/>
        <v>22882.902010000002</v>
      </c>
      <c r="AP7" s="21">
        <f t="shared" si="1"/>
        <v>22888.902010000002</v>
      </c>
      <c r="AQ7" s="21">
        <f t="shared" si="1"/>
        <v>23425.4</v>
      </c>
      <c r="AR7" s="21">
        <f t="shared" si="1"/>
        <v>23557</v>
      </c>
      <c r="AS7" s="21">
        <f t="shared" si="1"/>
        <v>24317.599999999999</v>
      </c>
      <c r="AT7" s="21">
        <f t="shared" si="1"/>
        <v>24979.200000000004</v>
      </c>
      <c r="AU7" s="21">
        <f t="shared" si="1"/>
        <v>25993.500000000004</v>
      </c>
      <c r="AV7" s="21">
        <f>AV10+AV22+AV39+AV34+AV50+AV46+AV55+AV64+AV21+AV16</f>
        <v>27404.584459999998</v>
      </c>
      <c r="AW7" s="21">
        <f>AW10+AW22+AW39+AW34+AW50+AW46+AW55+AW64+AW21+AW16+AW25+AW33</f>
        <v>19186.837650000001</v>
      </c>
      <c r="AX7" s="21">
        <f>AX10+AX22+AX39+AX34+AX50+AX46+AX55+AX64+AX21+AX16</f>
        <v>24879.802009999999</v>
      </c>
      <c r="AY7" s="21">
        <f>AY10+AY22+AY39+AY34+AY50+AY46+AY55+AY64+AY21+AY16</f>
        <v>25334.202010000001</v>
      </c>
      <c r="AZ7" s="21">
        <f>AZ10+AZ22+AZ39+AZ34+AZ50+AZ46+AZ55+AZ64+AZ21+AZ16</f>
        <v>25394.202010000001</v>
      </c>
      <c r="BA7" s="21">
        <f t="shared" ref="BA7:BE7" si="2">BA10+BA22+BA39+BA34+BA50+BA46+BA55+BA64+BA21+BA16</f>
        <v>25996.5</v>
      </c>
      <c r="BB7" s="21">
        <f t="shared" si="2"/>
        <v>27014.6</v>
      </c>
      <c r="BC7" s="21">
        <f t="shared" si="2"/>
        <v>29163.299999999996</v>
      </c>
      <c r="BD7" s="21">
        <f t="shared" si="2"/>
        <v>30611.4</v>
      </c>
      <c r="BE7" s="21">
        <f t="shared" si="2"/>
        <v>31637.545190000004</v>
      </c>
      <c r="BF7" s="21">
        <f>BF10+BF22+BF39+BF34+BF50+BF46+BF55+BF64+BF21+BF16+BF25+BF33+BF45+BF51</f>
        <v>5662.0245500000055</v>
      </c>
      <c r="BG7" s="22">
        <f t="shared" ref="BG7:BG59" si="3">BE7/AV7*100</f>
        <v>115.44617739480223</v>
      </c>
      <c r="BH7" s="21">
        <f t="shared" ref="BH7:BP7" si="4">BH10+BH22+BH39+BH34+BH50+BH46+BH55+BH64+BH21+BH16</f>
        <v>27003.50201</v>
      </c>
      <c r="BI7" s="21">
        <f t="shared" si="4"/>
        <v>27454.402009999998</v>
      </c>
      <c r="BJ7" s="21">
        <f t="shared" si="4"/>
        <v>27730.202010000001</v>
      </c>
      <c r="BK7" s="23">
        <f t="shared" si="4"/>
        <v>27526.300000000003</v>
      </c>
      <c r="BL7" s="24">
        <f t="shared" si="4"/>
        <v>28032.000000000004</v>
      </c>
      <c r="BM7" s="24">
        <f t="shared" si="4"/>
        <v>28110.2</v>
      </c>
      <c r="BN7" s="25">
        <f t="shared" si="4"/>
        <v>29811.300000000003</v>
      </c>
      <c r="BO7" s="24">
        <f t="shared" si="4"/>
        <v>31735.300000000003</v>
      </c>
      <c r="BP7" s="21">
        <f t="shared" si="4"/>
        <v>33508.602010000002</v>
      </c>
      <c r="BQ7" s="22">
        <f>BP7/BE7*100</f>
        <v>105.9140391859208</v>
      </c>
      <c r="BR7" s="21">
        <f>BR10+BR22+BR39+BR34+BR50+BR46+BR55+BR64+BR21+BR16</f>
        <v>32190.702010000001</v>
      </c>
      <c r="BS7" s="22">
        <f>BR7/BP7*100</f>
        <v>96.066980056026509</v>
      </c>
      <c r="BT7" s="22">
        <f>BR7/BI7*100</f>
        <v>117.25151397679269</v>
      </c>
      <c r="BU7" s="21">
        <f>BU10+BU22+BU39+BU34+BU50+BU46+BU55+BU64+BU21+BU16</f>
        <v>32968.602010000002</v>
      </c>
      <c r="BV7" s="22">
        <f>BU7/BR7*100</f>
        <v>102.41653630218548</v>
      </c>
      <c r="BW7" s="22">
        <f>BU7/BJ7*100</f>
        <v>118.89059444323897</v>
      </c>
      <c r="BX7" s="21">
        <f>BX10+BX22+BX39+BX34+BX50+BX46+BX55+BX64+BX21+BX16</f>
        <v>33527.702010000001</v>
      </c>
      <c r="BY7" s="22">
        <f>BX7/BU7*100</f>
        <v>101.69585595358399</v>
      </c>
    </row>
    <row r="8" spans="1:78" s="26" customFormat="1" ht="21" customHeight="1" x14ac:dyDescent="0.25">
      <c r="A8" s="19"/>
      <c r="B8" s="20" t="s">
        <v>81</v>
      </c>
      <c r="C8" s="21">
        <f t="shared" ref="C8:U8" si="5">C10+C22+C34+C21</f>
        <v>11860.579899999999</v>
      </c>
      <c r="D8" s="21">
        <f t="shared" si="5"/>
        <v>11515</v>
      </c>
      <c r="E8" s="21">
        <f t="shared" si="5"/>
        <v>13246.999999999998</v>
      </c>
      <c r="F8" s="21">
        <f t="shared" si="5"/>
        <v>12462.593279999999</v>
      </c>
      <c r="G8" s="21">
        <f t="shared" si="5"/>
        <v>14150.5</v>
      </c>
      <c r="H8" s="21">
        <f t="shared" si="5"/>
        <v>14225.8</v>
      </c>
      <c r="I8" s="21">
        <f t="shared" si="5"/>
        <v>13489.69479</v>
      </c>
      <c r="J8" s="21">
        <f t="shared" si="5"/>
        <v>13635</v>
      </c>
      <c r="K8" s="21">
        <f t="shared" si="5"/>
        <v>13348</v>
      </c>
      <c r="L8" s="21">
        <f t="shared" si="5"/>
        <v>12802.795040000001</v>
      </c>
      <c r="M8" s="21">
        <f t="shared" si="5"/>
        <v>12794.12707</v>
      </c>
      <c r="N8" s="21">
        <f t="shared" si="5"/>
        <v>13790.400000000001</v>
      </c>
      <c r="O8" s="21">
        <f t="shared" si="5"/>
        <v>13790.400000000001</v>
      </c>
      <c r="P8" s="21">
        <f t="shared" si="5"/>
        <v>12953.173269999999</v>
      </c>
      <c r="Q8" s="21">
        <f t="shared" si="5"/>
        <v>12953.173269999999</v>
      </c>
      <c r="R8" s="21">
        <f t="shared" si="5"/>
        <v>13505</v>
      </c>
      <c r="S8" s="21">
        <f t="shared" si="5"/>
        <v>14713.300000000003</v>
      </c>
      <c r="T8" s="21">
        <f t="shared" si="5"/>
        <v>14774.520500000001</v>
      </c>
      <c r="U8" s="21">
        <f t="shared" si="5"/>
        <v>14774.520499999999</v>
      </c>
      <c r="V8" s="21">
        <f t="shared" ref="V8:AU8" si="6">V10+V22+V34+V21+V16</f>
        <v>18601.00201</v>
      </c>
      <c r="W8" s="21">
        <f t="shared" si="6"/>
        <v>18735</v>
      </c>
      <c r="X8" s="21">
        <f t="shared" si="6"/>
        <v>18865.061850000002</v>
      </c>
      <c r="Y8" s="21">
        <f t="shared" si="6"/>
        <v>18856.844500000003</v>
      </c>
      <c r="Z8" s="21">
        <f t="shared" si="6"/>
        <v>18228.702010000001</v>
      </c>
      <c r="AA8" s="21">
        <f t="shared" si="6"/>
        <v>19445.899999999998</v>
      </c>
      <c r="AB8" s="21">
        <f t="shared" si="6"/>
        <v>20764.875219999998</v>
      </c>
      <c r="AC8" s="21">
        <f t="shared" si="6"/>
        <v>20874.892319999995</v>
      </c>
      <c r="AD8" s="21">
        <f t="shared" si="6"/>
        <v>19891.402010000002</v>
      </c>
      <c r="AE8" s="21">
        <f t="shared" si="6"/>
        <v>20881.400000000001</v>
      </c>
      <c r="AF8" s="21">
        <f t="shared" si="6"/>
        <v>21343.609350000002</v>
      </c>
      <c r="AG8" s="21">
        <f t="shared" si="6"/>
        <v>21537.677310000003</v>
      </c>
      <c r="AH8" s="21">
        <f t="shared" si="6"/>
        <v>20533.702010000001</v>
      </c>
      <c r="AI8" s="21">
        <f t="shared" si="6"/>
        <v>21120.302009999999</v>
      </c>
      <c r="AJ8" s="21">
        <f t="shared" si="6"/>
        <v>21156.302009999999</v>
      </c>
      <c r="AK8" s="21">
        <f t="shared" si="6"/>
        <v>20107.099999999999</v>
      </c>
      <c r="AL8" s="21">
        <f t="shared" si="6"/>
        <v>20810.85872</v>
      </c>
      <c r="AM8" s="21">
        <f t="shared" si="6"/>
        <v>21172.422160000002</v>
      </c>
      <c r="AN8" s="21">
        <f t="shared" si="6"/>
        <v>22620.602010000002</v>
      </c>
      <c r="AO8" s="21">
        <f t="shared" si="6"/>
        <v>22623.602010000002</v>
      </c>
      <c r="AP8" s="21">
        <f t="shared" si="6"/>
        <v>22626.602010000002</v>
      </c>
      <c r="AQ8" s="21">
        <f t="shared" si="6"/>
        <v>22620.6</v>
      </c>
      <c r="AR8" s="21">
        <f t="shared" si="6"/>
        <v>22713.200000000001</v>
      </c>
      <c r="AS8" s="21">
        <f t="shared" si="6"/>
        <v>23073.800000000003</v>
      </c>
      <c r="AT8" s="21">
        <f t="shared" si="6"/>
        <v>23125.4</v>
      </c>
      <c r="AU8" s="21">
        <f t="shared" si="6"/>
        <v>24201.000000000004</v>
      </c>
      <c r="AV8" s="21">
        <f>AV10+AV22+AV34+AV21+AV16</f>
        <v>25411.561829999999</v>
      </c>
      <c r="AW8" s="21">
        <f>AW10+AW22+AW34+AW21+AW16</f>
        <v>25288.276830000003</v>
      </c>
      <c r="AX8" s="21">
        <f>AX10+AX22+AX34+AX21+AX16</f>
        <v>24073.902009999998</v>
      </c>
      <c r="AY8" s="21">
        <f>AY10+AY22+AY34+AY21+AY16</f>
        <v>24528.302009999999</v>
      </c>
      <c r="AZ8" s="21">
        <f>AZ10+AZ22+AZ34+AZ21+AZ16</f>
        <v>24588.302009999999</v>
      </c>
      <c r="BA8" s="21">
        <f t="shared" ref="BA8:BE8" si="7">BA10+BA22+BA34+BA21+BA16</f>
        <v>24690.6</v>
      </c>
      <c r="BB8" s="21">
        <f t="shared" si="7"/>
        <v>24690.6</v>
      </c>
      <c r="BC8" s="21">
        <f t="shared" si="7"/>
        <v>26539.199999999997</v>
      </c>
      <c r="BD8" s="21">
        <f t="shared" si="7"/>
        <v>28052.6</v>
      </c>
      <c r="BE8" s="21">
        <f t="shared" si="7"/>
        <v>29556.107889999999</v>
      </c>
      <c r="BF8" s="21">
        <f>BF10+BF22+BF34+BF21+BF16</f>
        <v>29654.370139999999</v>
      </c>
      <c r="BG8" s="22">
        <f t="shared" si="3"/>
        <v>116.30968646369109</v>
      </c>
      <c r="BH8" s="21">
        <f t="shared" ref="BH8:BP8" si="8">BH10+BH22+BH34+BH21+BH16</f>
        <v>25313.402010000002</v>
      </c>
      <c r="BI8" s="21">
        <f t="shared" si="8"/>
        <v>25667.102009999999</v>
      </c>
      <c r="BJ8" s="21">
        <f t="shared" si="8"/>
        <v>25930.702010000001</v>
      </c>
      <c r="BK8" s="23">
        <f t="shared" si="8"/>
        <v>25313.4</v>
      </c>
      <c r="BL8" s="24">
        <f t="shared" si="8"/>
        <v>25313.4</v>
      </c>
      <c r="BM8" s="24">
        <f t="shared" si="8"/>
        <v>25391.599999999999</v>
      </c>
      <c r="BN8" s="25">
        <f t="shared" si="8"/>
        <v>26942.7</v>
      </c>
      <c r="BO8" s="24">
        <f t="shared" si="8"/>
        <v>28991.5</v>
      </c>
      <c r="BP8" s="21">
        <f t="shared" si="8"/>
        <v>30773.00201</v>
      </c>
      <c r="BQ8" s="22">
        <f t="shared" ref="BQ8:BQ71" si="9">BP8/BE8*100</f>
        <v>104.11723398943107</v>
      </c>
      <c r="BR8" s="21">
        <f>BR10+BR22+BR34+BR21+BR16</f>
        <v>30090.602010000002</v>
      </c>
      <c r="BS8" s="22">
        <f t="shared" ref="BS8:BS71" si="10">BR8/BP8*100</f>
        <v>97.782471792065508</v>
      </c>
      <c r="BT8" s="22">
        <f t="shared" ref="BT8:BT71" si="11">BR8/BI8*100</f>
        <v>117.23412326906477</v>
      </c>
      <c r="BU8" s="21">
        <f>BU10+BU22+BU34+BU21+BU16</f>
        <v>30844.102010000002</v>
      </c>
      <c r="BV8" s="22">
        <f t="shared" ref="BV8:BV71" si="12">BU8/BR8*100</f>
        <v>102.50410410449611</v>
      </c>
      <c r="BW8" s="22">
        <f t="shared" ref="BW8:BW71" si="13">BU8/BJ8*100</f>
        <v>118.94819507048125</v>
      </c>
      <c r="BX8" s="21">
        <f>BX10+BX22+BX34+BX21+BX16</f>
        <v>31393.202010000001</v>
      </c>
      <c r="BY8" s="22">
        <f t="shared" ref="BY8:BY71" si="14">BX8/BU8*100</f>
        <v>101.78024310716512</v>
      </c>
    </row>
    <row r="9" spans="1:78" s="26" customFormat="1" ht="18" customHeight="1" x14ac:dyDescent="0.25">
      <c r="A9" s="19"/>
      <c r="B9" s="20" t="s">
        <v>82</v>
      </c>
      <c r="C9" s="21">
        <f t="shared" ref="C9:BF9" si="15">C8/C123*100</f>
        <v>24.939177282591523</v>
      </c>
      <c r="D9" s="21">
        <f t="shared" si="15"/>
        <v>29.465501182202473</v>
      </c>
      <c r="E9" s="21">
        <f t="shared" si="15"/>
        <v>20.245352830329971</v>
      </c>
      <c r="F9" s="21">
        <f t="shared" si="15"/>
        <v>20.326166202182382</v>
      </c>
      <c r="G9" s="21">
        <f t="shared" si="15"/>
        <v>32.826531251377389</v>
      </c>
      <c r="H9" s="21">
        <f t="shared" si="15"/>
        <v>26.772332233016282</v>
      </c>
      <c r="I9" s="21">
        <f t="shared" si="15"/>
        <v>25.781995452516153</v>
      </c>
      <c r="J9" s="21">
        <f t="shared" si="15"/>
        <v>31.399397573714317</v>
      </c>
      <c r="K9" s="21">
        <f t="shared" si="15"/>
        <v>26.246141140845904</v>
      </c>
      <c r="L9" s="21">
        <f t="shared" si="15"/>
        <v>25.474646479096819</v>
      </c>
      <c r="M9" s="21">
        <f t="shared" si="15"/>
        <v>8.1822621397524475</v>
      </c>
      <c r="N9" s="21">
        <f t="shared" si="15"/>
        <v>31.136388780387581</v>
      </c>
      <c r="O9" s="21">
        <f t="shared" si="15"/>
        <v>24.274214983392273</v>
      </c>
      <c r="P9" s="21">
        <f t="shared" si="15"/>
        <v>23.410612869551883</v>
      </c>
      <c r="Q9" s="21">
        <f t="shared" si="15"/>
        <v>7.9227147577208186</v>
      </c>
      <c r="R9" s="21">
        <f t="shared" si="15"/>
        <v>24.588343249994537</v>
      </c>
      <c r="S9" s="21">
        <f t="shared" si="15"/>
        <v>24.856066493225669</v>
      </c>
      <c r="T9" s="21">
        <f t="shared" si="15"/>
        <v>24.933728046028687</v>
      </c>
      <c r="U9" s="21">
        <f t="shared" si="15"/>
        <v>11.795901200205297</v>
      </c>
      <c r="V9" s="21">
        <f t="shared" si="15"/>
        <v>38.430788506798685</v>
      </c>
      <c r="W9" s="21">
        <f t="shared" si="15"/>
        <v>24.72350190886285</v>
      </c>
      <c r="X9" s="21">
        <f t="shared" si="15"/>
        <v>24.870448390332978</v>
      </c>
      <c r="Y9" s="21">
        <f t="shared" si="15"/>
        <v>8.7591774172462387</v>
      </c>
      <c r="Z9" s="21">
        <f t="shared" si="15"/>
        <v>38.475276842579817</v>
      </c>
      <c r="AA9" s="21">
        <f t="shared" si="15"/>
        <v>33.504053380711788</v>
      </c>
      <c r="AB9" s="21">
        <f t="shared" si="15"/>
        <v>34.947920567624813</v>
      </c>
      <c r="AC9" s="21">
        <f t="shared" si="15"/>
        <v>8.8962655884820929</v>
      </c>
      <c r="AD9" s="21">
        <f t="shared" si="15"/>
        <v>40.063971360435893</v>
      </c>
      <c r="AE9" s="21">
        <f t="shared" si="15"/>
        <v>34.171750628403856</v>
      </c>
      <c r="AF9" s="21">
        <f t="shared" si="15"/>
        <v>34.638663982725888</v>
      </c>
      <c r="AG9" s="21">
        <f t="shared" si="15"/>
        <v>24.132105243444173</v>
      </c>
      <c r="AH9" s="21">
        <f t="shared" si="15"/>
        <v>37.877090886179793</v>
      </c>
      <c r="AI9" s="21">
        <f t="shared" si="15"/>
        <v>39.622505738029247</v>
      </c>
      <c r="AJ9" s="21">
        <f t="shared" si="15"/>
        <v>39.680291263044445</v>
      </c>
      <c r="AK9" s="21">
        <f t="shared" si="15"/>
        <v>19.926585065888119</v>
      </c>
      <c r="AL9" s="21">
        <f t="shared" si="15"/>
        <v>20.608588231338274</v>
      </c>
      <c r="AM9" s="21">
        <f t="shared" si="15"/>
        <v>7.9034501964687029</v>
      </c>
      <c r="AN9" s="21">
        <f t="shared" si="15"/>
        <v>43.528780062484891</v>
      </c>
      <c r="AO9" s="21">
        <f t="shared" si="15"/>
        <v>43.52952712957979</v>
      </c>
      <c r="AP9" s="21">
        <f t="shared" si="15"/>
        <v>43.53027402420495</v>
      </c>
      <c r="AQ9" s="21">
        <f t="shared" si="15"/>
        <v>33.891890434110337</v>
      </c>
      <c r="AR9" s="21">
        <f t="shared" si="15"/>
        <v>31.989160990834165</v>
      </c>
      <c r="AS9" s="21">
        <f t="shared" si="15"/>
        <v>35.105992900841528</v>
      </c>
      <c r="AT9" s="21">
        <f t="shared" si="15"/>
        <v>33.509050547437852</v>
      </c>
      <c r="AU9" s="21">
        <f t="shared" si="15"/>
        <v>31.737476345410126</v>
      </c>
      <c r="AV9" s="21">
        <f t="shared" si="15"/>
        <v>32.799415545536768</v>
      </c>
      <c r="AW9" s="21">
        <f t="shared" si="15"/>
        <v>23.568074818744684</v>
      </c>
      <c r="AX9" s="21">
        <f t="shared" si="15"/>
        <v>36.317900269451449</v>
      </c>
      <c r="AY9" s="21">
        <f t="shared" si="15"/>
        <v>48.150978481058907</v>
      </c>
      <c r="AZ9" s="21">
        <f t="shared" si="15"/>
        <v>48.2533229979732</v>
      </c>
      <c r="BA9" s="21">
        <f t="shared" si="15"/>
        <v>34.676542710518994</v>
      </c>
      <c r="BB9" s="21">
        <f t="shared" si="15"/>
        <v>31.743946104743475</v>
      </c>
      <c r="BC9" s="21">
        <f t="shared" si="15"/>
        <v>39.48515988698631</v>
      </c>
      <c r="BD9" s="21">
        <f t="shared" si="15"/>
        <v>30.25132694501778</v>
      </c>
      <c r="BE9" s="21">
        <f t="shared" si="15"/>
        <v>31.52535711510669</v>
      </c>
      <c r="BF9" s="21">
        <f t="shared" si="15"/>
        <v>22.460579850255321</v>
      </c>
      <c r="BG9" s="22"/>
      <c r="BH9" s="21">
        <f t="shared" ref="BH9:BP9" si="16">BH8/BH123*100</f>
        <v>38.902517378619869</v>
      </c>
      <c r="BI9" s="21">
        <f t="shared" si="16"/>
        <v>44.606165128213462</v>
      </c>
      <c r="BJ9" s="21">
        <f t="shared" si="16"/>
        <v>45.045402217965588</v>
      </c>
      <c r="BK9" s="23">
        <f t="shared" si="16"/>
        <v>37.40446961054927</v>
      </c>
      <c r="BL9" s="24">
        <f t="shared" si="16"/>
        <v>28.819788372077138</v>
      </c>
      <c r="BM9" s="24">
        <f t="shared" si="16"/>
        <v>28.494893350076811</v>
      </c>
      <c r="BN9" s="25">
        <f t="shared" si="16"/>
        <v>28.044833928558415</v>
      </c>
      <c r="BO9" s="24">
        <f t="shared" si="16"/>
        <v>28.870216221652832</v>
      </c>
      <c r="BP9" s="21">
        <f t="shared" si="16"/>
        <v>30.082105684102885</v>
      </c>
      <c r="BQ9" s="22"/>
      <c r="BR9" s="21">
        <f>BR8/BR123*100</f>
        <v>41.650830955289997</v>
      </c>
      <c r="BS9" s="22"/>
      <c r="BT9" s="22"/>
      <c r="BU9" s="21">
        <f>BU8/BU123*100</f>
        <v>49.649171596935247</v>
      </c>
      <c r="BV9" s="22"/>
      <c r="BW9" s="22"/>
      <c r="BX9" s="21">
        <f>BX8/BX123*100</f>
        <v>50.471708814073814</v>
      </c>
      <c r="BY9" s="22"/>
      <c r="BZ9" s="1"/>
    </row>
    <row r="10" spans="1:78" ht="21" customHeight="1" x14ac:dyDescent="0.25">
      <c r="A10" s="19" t="s">
        <v>83</v>
      </c>
      <c r="B10" s="20" t="s">
        <v>84</v>
      </c>
      <c r="C10" s="21">
        <f>C11+C13+C12</f>
        <v>11474.610049999999</v>
      </c>
      <c r="D10" s="21">
        <f>D11+D13+D12</f>
        <v>10703</v>
      </c>
      <c r="E10" s="21">
        <f>E11+E13+E12+E14</f>
        <v>12408.699999999999</v>
      </c>
      <c r="F10" s="21">
        <f t="shared" ref="F10:AP10" si="17">F11+F13+F12</f>
        <v>11923.26987</v>
      </c>
      <c r="G10" s="21">
        <f t="shared" si="17"/>
        <v>13398.5</v>
      </c>
      <c r="H10" s="21">
        <f t="shared" si="17"/>
        <v>13312.2</v>
      </c>
      <c r="I10" s="21">
        <f t="shared" si="17"/>
        <v>12556.57315</v>
      </c>
      <c r="J10" s="21">
        <f t="shared" si="17"/>
        <v>13125</v>
      </c>
      <c r="K10" s="21">
        <f t="shared" si="17"/>
        <v>12653.5</v>
      </c>
      <c r="L10" s="21">
        <f t="shared" si="17"/>
        <v>12123.741840000001</v>
      </c>
      <c r="M10" s="21">
        <f t="shared" si="17"/>
        <v>12123.741840000001</v>
      </c>
      <c r="N10" s="21">
        <f t="shared" si="17"/>
        <v>12839.7</v>
      </c>
      <c r="O10" s="21">
        <f t="shared" si="17"/>
        <v>12839.7</v>
      </c>
      <c r="P10" s="21">
        <f t="shared" si="17"/>
        <v>12038.29413</v>
      </c>
      <c r="Q10" s="21">
        <f t="shared" si="17"/>
        <v>12038.29413</v>
      </c>
      <c r="R10" s="21">
        <f t="shared" si="17"/>
        <v>12800</v>
      </c>
      <c r="S10" s="21">
        <f t="shared" si="17"/>
        <v>13315.900000000001</v>
      </c>
      <c r="T10" s="21">
        <f t="shared" si="17"/>
        <v>13374.017660000001</v>
      </c>
      <c r="U10" s="21">
        <f t="shared" si="17"/>
        <v>13374.01766</v>
      </c>
      <c r="V10" s="21">
        <f t="shared" si="17"/>
        <v>13150.00201</v>
      </c>
      <c r="W10" s="21">
        <f t="shared" si="17"/>
        <v>13059.1</v>
      </c>
      <c r="X10" s="21">
        <f t="shared" si="17"/>
        <v>13253.167410000002</v>
      </c>
      <c r="Y10" s="21">
        <f t="shared" si="17"/>
        <v>13253.167410000002</v>
      </c>
      <c r="Z10" s="21">
        <f t="shared" si="17"/>
        <v>13000.00201</v>
      </c>
      <c r="AA10" s="21">
        <f t="shared" si="17"/>
        <v>13360.1</v>
      </c>
      <c r="AB10" s="21">
        <f t="shared" si="17"/>
        <v>13867.235409999998</v>
      </c>
      <c r="AC10" s="21">
        <f t="shared" si="17"/>
        <v>13867.235409999998</v>
      </c>
      <c r="AD10" s="21">
        <f t="shared" si="17"/>
        <v>13450.00201</v>
      </c>
      <c r="AE10" s="21">
        <f t="shared" si="17"/>
        <v>13650</v>
      </c>
      <c r="AF10" s="21">
        <f t="shared" si="17"/>
        <v>13920.333840000001</v>
      </c>
      <c r="AG10" s="21">
        <f t="shared" si="17"/>
        <v>13920.333840000001</v>
      </c>
      <c r="AH10" s="21">
        <f t="shared" si="17"/>
        <v>13460.00201</v>
      </c>
      <c r="AI10" s="21">
        <f t="shared" si="17"/>
        <v>13480.00201</v>
      </c>
      <c r="AJ10" s="21">
        <f t="shared" si="17"/>
        <v>13500.00201</v>
      </c>
      <c r="AK10" s="21">
        <f t="shared" si="17"/>
        <v>14045</v>
      </c>
      <c r="AL10" s="21">
        <f t="shared" si="17"/>
        <v>14728.04859</v>
      </c>
      <c r="AM10" s="21">
        <f t="shared" si="17"/>
        <v>14728.04859</v>
      </c>
      <c r="AN10" s="21">
        <f t="shared" si="17"/>
        <v>14100.00201</v>
      </c>
      <c r="AO10" s="21">
        <f t="shared" si="17"/>
        <v>14100.00201</v>
      </c>
      <c r="AP10" s="21">
        <f t="shared" si="17"/>
        <v>14100.00201</v>
      </c>
      <c r="AQ10" s="21">
        <v>14100</v>
      </c>
      <c r="AR10" s="21">
        <v>14113.2</v>
      </c>
      <c r="AS10" s="21">
        <v>14464.2</v>
      </c>
      <c r="AT10" s="21">
        <f>AT11+AT13+AT12+AT15</f>
        <v>14521.800000000001</v>
      </c>
      <c r="AU10" s="21">
        <f>AU11+AU13+AU12+AU15</f>
        <v>14868.1</v>
      </c>
      <c r="AV10" s="21">
        <f>AV11+AV13+AV12+AV15</f>
        <v>15332.99559</v>
      </c>
      <c r="AW10" s="21">
        <f>AW11+AW13+AW12+AW15</f>
        <v>15332.99559</v>
      </c>
      <c r="AX10" s="21">
        <f t="shared" ref="AX10" si="18">AX11+AX13+AX12</f>
        <v>14820.00201</v>
      </c>
      <c r="AY10" s="21">
        <f>AY11+AY13+AY12</f>
        <v>14850.00201</v>
      </c>
      <c r="AZ10" s="21">
        <f>AZ11+AZ13+AZ12</f>
        <v>14900.00201</v>
      </c>
      <c r="BA10" s="21">
        <v>14820</v>
      </c>
      <c r="BB10" s="21">
        <v>14820</v>
      </c>
      <c r="BC10" s="21">
        <f>BC11+BC13+BC12+BC15</f>
        <v>16097</v>
      </c>
      <c r="BD10" s="21">
        <f>BD11+BD13+BD12+BD15</f>
        <v>16764.400000000001</v>
      </c>
      <c r="BE10" s="21">
        <f>BE11+BE13+BE12+BE15</f>
        <v>17298.138800000001</v>
      </c>
      <c r="BF10" s="21">
        <f>BF11+BF13+BF12+BF15</f>
        <v>17298.138800000001</v>
      </c>
      <c r="BG10" s="22">
        <f t="shared" si="3"/>
        <v>112.81643367380634</v>
      </c>
      <c r="BH10" s="21">
        <f t="shared" ref="BH10" si="19">BH11+BH13+BH12</f>
        <v>15500.00201</v>
      </c>
      <c r="BI10" s="21">
        <f>BI11+BI13+BI12</f>
        <v>15700.00201</v>
      </c>
      <c r="BJ10" s="21">
        <f>BJ11+BJ13+BJ12</f>
        <v>15950.00201</v>
      </c>
      <c r="BK10" s="23">
        <f>BK11+BK13+BK12</f>
        <v>15500</v>
      </c>
      <c r="BL10" s="24">
        <f>BL11+BL13+BL12</f>
        <v>15500</v>
      </c>
      <c r="BM10" s="24">
        <v>15508.6</v>
      </c>
      <c r="BN10" s="25">
        <v>16569.7</v>
      </c>
      <c r="BO10" s="24">
        <v>17986.7</v>
      </c>
      <c r="BP10" s="21">
        <f t="shared" ref="BP10:BR10" si="20">BP11+BP13+BP12</f>
        <v>18300.00201</v>
      </c>
      <c r="BQ10" s="22">
        <f t="shared" si="9"/>
        <v>105.7917399182853</v>
      </c>
      <c r="BR10" s="21">
        <f t="shared" si="20"/>
        <v>18000.00201</v>
      </c>
      <c r="BS10" s="22">
        <f t="shared" si="10"/>
        <v>98.360655917764021</v>
      </c>
      <c r="BT10" s="22">
        <f t="shared" si="11"/>
        <v>114.64967965313018</v>
      </c>
      <c r="BU10" s="21">
        <f>BU11+BU13+BU12</f>
        <v>18500.00201</v>
      </c>
      <c r="BV10" s="22">
        <f t="shared" si="12"/>
        <v>102.77777746759263</v>
      </c>
      <c r="BW10" s="22">
        <f t="shared" si="13"/>
        <v>115.98745880032651</v>
      </c>
      <c r="BX10" s="21">
        <f>BX11+BX13+BX12</f>
        <v>19000.00201</v>
      </c>
      <c r="BY10" s="22">
        <f t="shared" si="14"/>
        <v>102.70270240905775</v>
      </c>
    </row>
    <row r="11" spans="1:78" ht="22.5" hidden="1" customHeight="1" x14ac:dyDescent="0.25">
      <c r="A11" s="11" t="s">
        <v>85</v>
      </c>
      <c r="B11" s="27" t="s">
        <v>86</v>
      </c>
      <c r="C11" s="22">
        <v>11466.40632</v>
      </c>
      <c r="D11" s="22">
        <v>10700</v>
      </c>
      <c r="E11" s="22">
        <v>12393.98</v>
      </c>
      <c r="F11" s="22">
        <f>11899.99106+8.61373</f>
        <v>11908.604789999999</v>
      </c>
      <c r="G11" s="22">
        <v>13384.5</v>
      </c>
      <c r="H11" s="22">
        <v>13292.2</v>
      </c>
      <c r="I11" s="22">
        <f>-11.67359+12551.0284+0.1578+0.02</f>
        <v>12539.53261</v>
      </c>
      <c r="J11" s="22">
        <v>13125</v>
      </c>
      <c r="K11" s="22">
        <v>12632</v>
      </c>
      <c r="L11" s="22">
        <f>0.12/1000+12100.91792+0.64989+0.3</f>
        <v>12101.86793</v>
      </c>
      <c r="M11" s="22">
        <f>0.12/1000+12100.91792+0.64989+0.3</f>
        <v>12101.86793</v>
      </c>
      <c r="N11" s="22">
        <v>12839.7</v>
      </c>
      <c r="O11" s="22">
        <v>12839.7</v>
      </c>
      <c r="P11" s="22">
        <f>12036.89513+11.4/1000+3/1000</f>
        <v>12036.909530000001</v>
      </c>
      <c r="Q11" s="22">
        <f>12036.89513+11.4/1000+3/1000</f>
        <v>12036.909530000001</v>
      </c>
      <c r="R11" s="22">
        <v>12800</v>
      </c>
      <c r="S11" s="22">
        <v>13313.7</v>
      </c>
      <c r="T11" s="22">
        <f>13375.09381+3.24537+0.2+0.025</f>
        <v>13378.564180000001</v>
      </c>
      <c r="U11" s="22">
        <v>13371.83246</v>
      </c>
      <c r="V11" s="22">
        <v>13150</v>
      </c>
      <c r="W11" s="22">
        <v>13050</v>
      </c>
      <c r="X11" s="22">
        <v>13242.48407</v>
      </c>
      <c r="Y11" s="22">
        <v>13242.48407</v>
      </c>
      <c r="Z11" s="22">
        <v>13000</v>
      </c>
      <c r="AA11" s="22">
        <v>13360.1</v>
      </c>
      <c r="AB11" s="22">
        <f>13855.49225+1.27635+1.29344</f>
        <v>13858.062039999999</v>
      </c>
      <c r="AC11" s="22">
        <f>13855.49225+1.27635+1.29344</f>
        <v>13858.062039999999</v>
      </c>
      <c r="AD11" s="22">
        <v>13450</v>
      </c>
      <c r="AE11" s="22">
        <v>13450</v>
      </c>
      <c r="AF11" s="22">
        <v>13718.92712</v>
      </c>
      <c r="AG11" s="22">
        <v>13718.92712</v>
      </c>
      <c r="AH11" s="22">
        <v>13460</v>
      </c>
      <c r="AI11" s="22">
        <v>13480</v>
      </c>
      <c r="AJ11" s="22">
        <v>13500</v>
      </c>
      <c r="AK11" s="22">
        <v>14045</v>
      </c>
      <c r="AL11" s="22">
        <v>14735.07633</v>
      </c>
      <c r="AM11" s="22">
        <v>14735.07633</v>
      </c>
      <c r="AN11" s="22">
        <v>14100</v>
      </c>
      <c r="AO11" s="22">
        <v>14100</v>
      </c>
      <c r="AP11" s="22">
        <v>14100</v>
      </c>
      <c r="AQ11" s="22"/>
      <c r="AR11" s="22"/>
      <c r="AS11" s="22"/>
      <c r="AT11" s="22">
        <v>14441.6</v>
      </c>
      <c r="AU11" s="22">
        <v>14747.9</v>
      </c>
      <c r="AV11" s="22">
        <f>15207.88823+2.72864</f>
        <v>15210.61687</v>
      </c>
      <c r="AW11" s="22">
        <f>15210.61687</f>
        <v>15210.61687</v>
      </c>
      <c r="AX11" s="22">
        <v>14820</v>
      </c>
      <c r="AY11" s="22">
        <v>14850</v>
      </c>
      <c r="AZ11" s="22">
        <v>14900</v>
      </c>
      <c r="BA11" s="22"/>
      <c r="BB11" s="22"/>
      <c r="BC11" s="28">
        <v>16020</v>
      </c>
      <c r="BD11" s="22">
        <v>16620</v>
      </c>
      <c r="BE11" s="22">
        <v>17128.97207</v>
      </c>
      <c r="BF11" s="22">
        <v>17128.97207</v>
      </c>
      <c r="BG11" s="22">
        <f t="shared" si="3"/>
        <v>112.61194872236631</v>
      </c>
      <c r="BH11" s="22">
        <v>15500</v>
      </c>
      <c r="BI11" s="22">
        <v>15700</v>
      </c>
      <c r="BJ11" s="22">
        <v>15950</v>
      </c>
      <c r="BK11" s="21">
        <v>15500</v>
      </c>
      <c r="BL11" s="29">
        <v>15500</v>
      </c>
      <c r="BM11" s="29"/>
      <c r="BN11" s="25"/>
      <c r="BO11" s="29"/>
      <c r="BP11" s="22">
        <v>18300</v>
      </c>
      <c r="BQ11" s="22">
        <f t="shared" si="9"/>
        <v>106.83653359474479</v>
      </c>
      <c r="BR11" s="22">
        <v>18000</v>
      </c>
      <c r="BS11" s="22">
        <f t="shared" si="10"/>
        <v>98.360655737704917</v>
      </c>
      <c r="BT11" s="22">
        <f t="shared" si="11"/>
        <v>114.64968152866241</v>
      </c>
      <c r="BU11" s="22">
        <v>18500</v>
      </c>
      <c r="BV11" s="22">
        <f t="shared" si="12"/>
        <v>102.77777777777777</v>
      </c>
      <c r="BW11" s="22">
        <f t="shared" si="13"/>
        <v>115.98746081504703</v>
      </c>
      <c r="BX11" s="22">
        <v>19000</v>
      </c>
      <c r="BY11" s="22">
        <f t="shared" si="14"/>
        <v>102.70270270270269</v>
      </c>
    </row>
    <row r="12" spans="1:78" ht="22.5" hidden="1" customHeight="1" x14ac:dyDescent="0.25">
      <c r="A12" s="11" t="s">
        <v>87</v>
      </c>
      <c r="B12" s="30" t="s">
        <v>88</v>
      </c>
      <c r="C12" s="22">
        <v>5.1579300000000003</v>
      </c>
      <c r="D12" s="22"/>
      <c r="E12" s="22">
        <v>2.42</v>
      </c>
      <c r="F12" s="22">
        <f>2.2518+0.06818+0.1</f>
        <v>2.4199799999999998</v>
      </c>
      <c r="G12" s="22">
        <v>2</v>
      </c>
      <c r="H12" s="22">
        <v>8</v>
      </c>
      <c r="I12" s="22">
        <f>5.284+0.05502+0.1</f>
        <v>5.4390199999999993</v>
      </c>
      <c r="J12" s="22">
        <v>0</v>
      </c>
      <c r="K12" s="22">
        <v>17</v>
      </c>
      <c r="L12" s="22">
        <f>12.9505+2.55428+1.88108</f>
        <v>17.385860000000001</v>
      </c>
      <c r="M12" s="22">
        <f>12.9505+2.55428+1.88108</f>
        <v>17.385860000000001</v>
      </c>
      <c r="N12" s="22">
        <v>0</v>
      </c>
      <c r="O12" s="22">
        <v>0</v>
      </c>
      <c r="P12" s="22">
        <f>-0.4144-1.77/1000</f>
        <v>-0.41616999999999998</v>
      </c>
      <c r="Q12" s="22">
        <f>-0.4144-1.77/1000</f>
        <v>-0.41616999999999998</v>
      </c>
      <c r="R12" s="22">
        <v>0</v>
      </c>
      <c r="S12" s="22">
        <v>0</v>
      </c>
      <c r="T12" s="22">
        <f>-7.0487+16.98/1000+0.3</f>
        <v>-6.7317200000000001</v>
      </c>
      <c r="U12" s="22">
        <v>0</v>
      </c>
      <c r="V12" s="22">
        <v>0</v>
      </c>
      <c r="W12" s="22">
        <v>0</v>
      </c>
      <c r="X12" s="22">
        <v>1.34372</v>
      </c>
      <c r="Y12" s="22">
        <v>1.34372</v>
      </c>
      <c r="Z12" s="22">
        <v>0</v>
      </c>
      <c r="AA12" s="22">
        <v>0</v>
      </c>
      <c r="AB12" s="22">
        <f>6.30413+0.05456+0.62501-0.00203</f>
        <v>6.9816699999999994</v>
      </c>
      <c r="AC12" s="22">
        <f>6.30413+0.05456+0.62501-0.00203</f>
        <v>6.9816699999999994</v>
      </c>
      <c r="AD12" s="22">
        <v>0</v>
      </c>
      <c r="AE12" s="22">
        <v>195</v>
      </c>
      <c r="AF12" s="22">
        <v>195.68056000000001</v>
      </c>
      <c r="AG12" s="22">
        <v>195.68056000000001</v>
      </c>
      <c r="AH12" s="22">
        <v>0</v>
      </c>
      <c r="AI12" s="22">
        <v>0</v>
      </c>
      <c r="AJ12" s="22">
        <v>0</v>
      </c>
      <c r="AK12" s="22">
        <v>0</v>
      </c>
      <c r="AL12" s="22">
        <f>0.0195+1.68526-10.61183</f>
        <v>-8.9070699999999992</v>
      </c>
      <c r="AM12" s="22">
        <f>0.0195+1.68526-10.61183</f>
        <v>-8.9070699999999992</v>
      </c>
      <c r="AN12" s="22">
        <v>0</v>
      </c>
      <c r="AO12" s="22">
        <v>0</v>
      </c>
      <c r="AP12" s="22">
        <v>0</v>
      </c>
      <c r="AQ12" s="22"/>
      <c r="AR12" s="22"/>
      <c r="AS12" s="22"/>
      <c r="AT12" s="22">
        <v>13.2</v>
      </c>
      <c r="AU12" s="22">
        <v>13.2</v>
      </c>
      <c r="AV12" s="22">
        <f>8.67901+3.3816+1.76515</f>
        <v>13.825760000000001</v>
      </c>
      <c r="AW12" s="22">
        <v>13.825760000000001</v>
      </c>
      <c r="AX12" s="22">
        <v>0</v>
      </c>
      <c r="AY12" s="22">
        <v>0</v>
      </c>
      <c r="AZ12" s="22">
        <v>0</v>
      </c>
      <c r="BA12" s="22"/>
      <c r="BB12" s="22"/>
      <c r="BC12" s="28">
        <v>0</v>
      </c>
      <c r="BD12" s="22">
        <v>0</v>
      </c>
      <c r="BE12" s="22">
        <v>0.13661999999999999</v>
      </c>
      <c r="BF12" s="22">
        <v>0.13661999999999999</v>
      </c>
      <c r="BG12" s="22">
        <f t="shared" si="3"/>
        <v>0.98815544317274406</v>
      </c>
      <c r="BH12" s="22">
        <v>0</v>
      </c>
      <c r="BI12" s="22">
        <v>0</v>
      </c>
      <c r="BJ12" s="22">
        <v>0</v>
      </c>
      <c r="BK12" s="21"/>
      <c r="BL12" s="29"/>
      <c r="BM12" s="29"/>
      <c r="BN12" s="25"/>
      <c r="BO12" s="29"/>
      <c r="BP12" s="22">
        <v>0</v>
      </c>
      <c r="BQ12" s="22">
        <f t="shared" si="9"/>
        <v>0</v>
      </c>
      <c r="BR12" s="22">
        <v>0</v>
      </c>
      <c r="BS12" s="22" t="e">
        <f t="shared" si="10"/>
        <v>#DIV/0!</v>
      </c>
      <c r="BT12" s="22" t="e">
        <f t="shared" si="11"/>
        <v>#DIV/0!</v>
      </c>
      <c r="BU12" s="22">
        <v>0</v>
      </c>
      <c r="BV12" s="22" t="e">
        <f t="shared" si="12"/>
        <v>#DIV/0!</v>
      </c>
      <c r="BW12" s="22" t="e">
        <f t="shared" si="13"/>
        <v>#DIV/0!</v>
      </c>
      <c r="BX12" s="22">
        <v>0</v>
      </c>
      <c r="BY12" s="22" t="e">
        <f t="shared" si="14"/>
        <v>#DIV/0!</v>
      </c>
    </row>
    <row r="13" spans="1:78" ht="22.5" hidden="1" customHeight="1" x14ac:dyDescent="0.25">
      <c r="A13" s="11" t="s">
        <v>89</v>
      </c>
      <c r="B13" s="27" t="s">
        <v>90</v>
      </c>
      <c r="C13" s="22">
        <v>3.0457999999999998</v>
      </c>
      <c r="D13" s="22">
        <v>3</v>
      </c>
      <c r="E13" s="22">
        <v>12.3</v>
      </c>
      <c r="F13" s="22">
        <v>12.245100000000001</v>
      </c>
      <c r="G13" s="22">
        <v>12</v>
      </c>
      <c r="H13" s="22">
        <v>12</v>
      </c>
      <c r="I13" s="22">
        <f>11.6013+0.00022</f>
        <v>11.601520000000001</v>
      </c>
      <c r="J13" s="22">
        <v>0</v>
      </c>
      <c r="K13" s="22">
        <v>4.5</v>
      </c>
      <c r="L13" s="22">
        <f>-0.12/1000+3.7493+38.87/1000+0.7</f>
        <v>4.4880500000000003</v>
      </c>
      <c r="M13" s="22">
        <f>-0.12/1000+3.7493+38.87/1000+0.7</f>
        <v>4.4880500000000003</v>
      </c>
      <c r="N13" s="22">
        <v>0</v>
      </c>
      <c r="O13" s="22">
        <v>0</v>
      </c>
      <c r="P13" s="22">
        <f>0.1/1000+0.9427+32.97/1000+0.825</f>
        <v>1.80077</v>
      </c>
      <c r="Q13" s="22">
        <f>0.1/1000+0.9427+32.97/1000+0.825</f>
        <v>1.80077</v>
      </c>
      <c r="R13" s="22">
        <v>0</v>
      </c>
      <c r="S13" s="22">
        <v>2.2000000000000002</v>
      </c>
      <c r="T13" s="22">
        <f>1.8719+13.3/1000+0.3</f>
        <v>2.1852</v>
      </c>
      <c r="U13" s="22">
        <v>2.1852</v>
      </c>
      <c r="V13" s="22">
        <v>2.0100000000000001E-3</v>
      </c>
      <c r="W13" s="22">
        <v>9.1</v>
      </c>
      <c r="X13" s="22">
        <v>9.33962</v>
      </c>
      <c r="Y13" s="22">
        <v>9.33962</v>
      </c>
      <c r="Z13" s="22">
        <v>2.0100000000000001E-3</v>
      </c>
      <c r="AA13" s="22">
        <v>0</v>
      </c>
      <c r="AB13" s="22">
        <f>1.6486+0.0181+0.525</f>
        <v>2.1917</v>
      </c>
      <c r="AC13" s="22">
        <f>1.6486+0.0181+0.525</f>
        <v>2.1917</v>
      </c>
      <c r="AD13" s="22">
        <v>2.0100000000000001E-3</v>
      </c>
      <c r="AE13" s="22">
        <v>5</v>
      </c>
      <c r="AF13" s="22">
        <v>5.7261600000000001</v>
      </c>
      <c r="AG13" s="22">
        <v>5.7261600000000001</v>
      </c>
      <c r="AH13" s="22">
        <v>2.0100000000000001E-3</v>
      </c>
      <c r="AI13" s="22">
        <v>2.0100000000000001E-3</v>
      </c>
      <c r="AJ13" s="22">
        <v>2.0100000000000001E-3</v>
      </c>
      <c r="AK13" s="22">
        <v>0</v>
      </c>
      <c r="AL13" s="22">
        <f>1.87933</f>
        <v>1.8793299999999999</v>
      </c>
      <c r="AM13" s="22">
        <f>1.87933</f>
        <v>1.8793299999999999</v>
      </c>
      <c r="AN13" s="22">
        <v>2.0100000000000001E-3</v>
      </c>
      <c r="AO13" s="22">
        <v>2.0100000000000001E-3</v>
      </c>
      <c r="AP13" s="22">
        <v>2.0100000000000001E-3</v>
      </c>
      <c r="AQ13" s="22"/>
      <c r="AR13" s="22"/>
      <c r="AS13" s="22"/>
      <c r="AT13" s="22">
        <v>41</v>
      </c>
      <c r="AU13" s="22">
        <v>68</v>
      </c>
      <c r="AV13" s="22">
        <f>67.78149+0.96078</f>
        <v>68.742270000000005</v>
      </c>
      <c r="AW13" s="22">
        <v>68.742270000000005</v>
      </c>
      <c r="AX13" s="22">
        <v>2.0100000000000001E-3</v>
      </c>
      <c r="AY13" s="22">
        <v>2.0100000000000001E-3</v>
      </c>
      <c r="AZ13" s="22">
        <v>2.0100000000000001E-3</v>
      </c>
      <c r="BA13" s="22"/>
      <c r="BB13" s="22"/>
      <c r="BC13" s="28">
        <v>26.6</v>
      </c>
      <c r="BD13" s="22">
        <v>33.4</v>
      </c>
      <c r="BE13" s="22">
        <v>33.429000000000002</v>
      </c>
      <c r="BF13" s="22">
        <v>33.429000000000002</v>
      </c>
      <c r="BG13" s="22">
        <f t="shared" si="3"/>
        <v>48.629467720516068</v>
      </c>
      <c r="BH13" s="22">
        <v>2.0100000000000001E-3</v>
      </c>
      <c r="BI13" s="22">
        <v>2.0100000000000001E-3</v>
      </c>
      <c r="BJ13" s="22">
        <v>2.0100000000000001E-3</v>
      </c>
      <c r="BK13" s="21"/>
      <c r="BL13" s="29"/>
      <c r="BM13" s="29"/>
      <c r="BN13" s="25"/>
      <c r="BO13" s="29"/>
      <c r="BP13" s="22">
        <v>2.0100000000000001E-3</v>
      </c>
      <c r="BQ13" s="22">
        <f t="shared" si="9"/>
        <v>6.0127434263663286E-3</v>
      </c>
      <c r="BR13" s="22">
        <v>2.0100000000000001E-3</v>
      </c>
      <c r="BS13" s="22">
        <f t="shared" si="10"/>
        <v>100</v>
      </c>
      <c r="BT13" s="22">
        <f t="shared" si="11"/>
        <v>100</v>
      </c>
      <c r="BU13" s="22">
        <v>2.0100000000000001E-3</v>
      </c>
      <c r="BV13" s="22">
        <f t="shared" si="12"/>
        <v>100</v>
      </c>
      <c r="BW13" s="22">
        <f t="shared" si="13"/>
        <v>100</v>
      </c>
      <c r="BX13" s="22">
        <v>2.0100000000000001E-3</v>
      </c>
      <c r="BY13" s="22">
        <f t="shared" si="14"/>
        <v>100</v>
      </c>
    </row>
    <row r="14" spans="1:78" ht="22.5" hidden="1" customHeight="1" x14ac:dyDescent="0.25">
      <c r="A14" s="11" t="s">
        <v>91</v>
      </c>
      <c r="B14" s="30" t="s">
        <v>92</v>
      </c>
      <c r="C14" s="22"/>
      <c r="D14" s="22">
        <v>0</v>
      </c>
      <c r="E14" s="22">
        <v>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8"/>
      <c r="BD14" s="22"/>
      <c r="BE14" s="22"/>
      <c r="BF14" s="22"/>
      <c r="BG14" s="22" t="e">
        <f t="shared" si="3"/>
        <v>#DIV/0!</v>
      </c>
      <c r="BH14" s="22"/>
      <c r="BI14" s="22"/>
      <c r="BJ14" s="22"/>
      <c r="BK14" s="21"/>
      <c r="BL14" s="29"/>
      <c r="BM14" s="29"/>
      <c r="BN14" s="25"/>
      <c r="BO14" s="29"/>
      <c r="BP14" s="22"/>
      <c r="BQ14" s="22" t="e">
        <f t="shared" si="9"/>
        <v>#DIV/0!</v>
      </c>
      <c r="BR14" s="22"/>
      <c r="BS14" s="22" t="e">
        <f t="shared" si="10"/>
        <v>#DIV/0!</v>
      </c>
      <c r="BT14" s="22" t="e">
        <f t="shared" si="11"/>
        <v>#DIV/0!</v>
      </c>
      <c r="BU14" s="22"/>
      <c r="BV14" s="22" t="e">
        <f t="shared" si="12"/>
        <v>#DIV/0!</v>
      </c>
      <c r="BW14" s="22" t="e">
        <f t="shared" si="13"/>
        <v>#DIV/0!</v>
      </c>
      <c r="BX14" s="22"/>
      <c r="BY14" s="22" t="e">
        <f t="shared" si="14"/>
        <v>#DIV/0!</v>
      </c>
    </row>
    <row r="15" spans="1:78" ht="22.5" hidden="1" customHeight="1" x14ac:dyDescent="0.25">
      <c r="A15" s="11" t="s">
        <v>93</v>
      </c>
      <c r="B15" s="30" t="s">
        <v>94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>
        <v>26</v>
      </c>
      <c r="AU15" s="22">
        <v>39</v>
      </c>
      <c r="AV15" s="22">
        <v>39.810690000000001</v>
      </c>
      <c r="AW15" s="22">
        <v>39.810690000000001</v>
      </c>
      <c r="AX15" s="22"/>
      <c r="AY15" s="22"/>
      <c r="AZ15" s="22"/>
      <c r="BA15" s="22"/>
      <c r="BB15" s="22"/>
      <c r="BC15" s="28">
        <v>50.4</v>
      </c>
      <c r="BD15" s="22">
        <v>111</v>
      </c>
      <c r="BE15" s="22">
        <v>135.60111000000001</v>
      </c>
      <c r="BF15" s="22">
        <v>135.60111000000001</v>
      </c>
      <c r="BG15" s="22">
        <f t="shared" si="3"/>
        <v>340.61481978835337</v>
      </c>
      <c r="BH15" s="22"/>
      <c r="BI15" s="22"/>
      <c r="BJ15" s="22"/>
      <c r="BK15" s="21"/>
      <c r="BL15" s="29"/>
      <c r="BM15" s="29"/>
      <c r="BN15" s="25"/>
      <c r="BO15" s="29"/>
      <c r="BP15" s="22"/>
      <c r="BQ15" s="22">
        <f t="shared" si="9"/>
        <v>0</v>
      </c>
      <c r="BR15" s="22"/>
      <c r="BS15" s="22" t="e">
        <f t="shared" si="10"/>
        <v>#DIV/0!</v>
      </c>
      <c r="BT15" s="22" t="e">
        <f t="shared" si="11"/>
        <v>#DIV/0!</v>
      </c>
      <c r="BU15" s="22"/>
      <c r="BV15" s="22" t="e">
        <f t="shared" si="12"/>
        <v>#DIV/0!</v>
      </c>
      <c r="BW15" s="22" t="e">
        <f t="shared" si="13"/>
        <v>#DIV/0!</v>
      </c>
      <c r="BX15" s="22"/>
      <c r="BY15" s="22" t="e">
        <f t="shared" si="14"/>
        <v>#DIV/0!</v>
      </c>
    </row>
    <row r="16" spans="1:78" ht="27" customHeight="1" x14ac:dyDescent="0.25">
      <c r="A16" s="31" t="s">
        <v>95</v>
      </c>
      <c r="B16" s="32" t="s">
        <v>96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1">
        <f>V17+V18+V19</f>
        <v>4215</v>
      </c>
      <c r="W16" s="21">
        <f>W17+W18+W19</f>
        <v>3480.9</v>
      </c>
      <c r="X16" s="21">
        <f>X17+X18+X19+X20</f>
        <v>3396.5520000000001</v>
      </c>
      <c r="Y16" s="21">
        <f>Y17+Y18+Y19+Y20</f>
        <v>3396.5520000000001</v>
      </c>
      <c r="Z16" s="21">
        <f>Z17+Z18+Z19</f>
        <v>3943.7</v>
      </c>
      <c r="AA16" s="21">
        <f>AA17+AA18+AA19</f>
        <v>3943.7</v>
      </c>
      <c r="AB16" s="21">
        <f>AB17+AB18+AB19+AB20</f>
        <v>4622.7254899999998</v>
      </c>
      <c r="AC16" s="21">
        <f>AC17+AC18+AC19+AC20</f>
        <v>4622.7254899999998</v>
      </c>
      <c r="AD16" s="21">
        <f>AD17+AD18+AD19</f>
        <v>4776.3</v>
      </c>
      <c r="AE16" s="21">
        <f>AE17+AE18+AE19</f>
        <v>5176.3</v>
      </c>
      <c r="AF16" s="21">
        <f>AF17+AF18+AF19+AF20</f>
        <v>5269.6480899999997</v>
      </c>
      <c r="AG16" s="21">
        <f>AG17+AG18+AG19+AG20</f>
        <v>5269.6480899999997</v>
      </c>
      <c r="AH16" s="21">
        <f>AH17+AH18+AH19</f>
        <v>4923.1000000000004</v>
      </c>
      <c r="AI16" s="21">
        <f>AI17+AI18+AI19</f>
        <v>5479.5</v>
      </c>
      <c r="AJ16" s="21">
        <f>AJ17+AJ18+AJ19</f>
        <v>5479.5</v>
      </c>
      <c r="AK16" s="21">
        <f>AK17+AK18+AK19</f>
        <v>4853.1000000000004</v>
      </c>
      <c r="AL16" s="21">
        <f>AL17+AL18+AL19+AL20</f>
        <v>4839.3697499999998</v>
      </c>
      <c r="AM16" s="21">
        <f>AM17+AM18+AM19+AM20</f>
        <v>4839.3697499999998</v>
      </c>
      <c r="AN16" s="21">
        <f>AN17+AN18+AN19</f>
        <v>6790.4000000000005</v>
      </c>
      <c r="AO16" s="21">
        <f>AO17+AO18+AO19</f>
        <v>6790.4000000000005</v>
      </c>
      <c r="AP16" s="21">
        <f>AP17+AP18+AP19</f>
        <v>6790.4000000000005</v>
      </c>
      <c r="AQ16" s="21">
        <v>6790.4</v>
      </c>
      <c r="AR16" s="21">
        <v>6790.4</v>
      </c>
      <c r="AS16" s="21">
        <v>6790.4</v>
      </c>
      <c r="AT16" s="21">
        <f>AT17+AT18+AT19+AT20</f>
        <v>6790.4000000000005</v>
      </c>
      <c r="AU16" s="21">
        <f>AU17+AU18+AU19+AU20</f>
        <v>7040.4000000000005</v>
      </c>
      <c r="AV16" s="21">
        <f>AV17+AV18+AV19+AV20</f>
        <v>7729.1224999999995</v>
      </c>
      <c r="AW16" s="21">
        <f>AW17+AW18+AW19+AW20</f>
        <v>7729.1224999999995</v>
      </c>
      <c r="AX16" s="21">
        <f>AX17+AX18+AX19</f>
        <v>7486.8</v>
      </c>
      <c r="AY16" s="21">
        <f>AY17+AY18+AY19</f>
        <v>7896.2</v>
      </c>
      <c r="AZ16" s="21">
        <f>AZ17+AZ18+AZ19</f>
        <v>7896.2</v>
      </c>
      <c r="BA16" s="21">
        <v>8103.5</v>
      </c>
      <c r="BB16" s="21">
        <v>8103.5</v>
      </c>
      <c r="BC16" s="29">
        <f t="shared" ref="BC16:BD16" si="21">BC17+BC18+BC19</f>
        <v>8603.5</v>
      </c>
      <c r="BD16" s="21">
        <f t="shared" si="21"/>
        <v>8603.5</v>
      </c>
      <c r="BE16" s="21">
        <f>BE17+BE18+BE19+BE20</f>
        <v>9350.9953000000005</v>
      </c>
      <c r="BF16" s="21">
        <f>BF17+BF18+BF19+BF20</f>
        <v>9350.9953000000005</v>
      </c>
      <c r="BG16" s="22">
        <f t="shared" si="3"/>
        <v>120.98391893775782</v>
      </c>
      <c r="BH16" s="21">
        <f>BH17+BH18+BH19</f>
        <v>7987.7000000000007</v>
      </c>
      <c r="BI16" s="21">
        <f>BI17+BI18+BI19</f>
        <v>8114</v>
      </c>
      <c r="BJ16" s="21">
        <f>BJ17+BJ18+BJ19</f>
        <v>8114</v>
      </c>
      <c r="BK16" s="23">
        <f>BK17+BK18+BK19</f>
        <v>7987.7000000000007</v>
      </c>
      <c r="BL16" s="24">
        <f>BL17+BL18+BL19</f>
        <v>7987.7000000000007</v>
      </c>
      <c r="BM16" s="24">
        <v>8057.3</v>
      </c>
      <c r="BN16" s="25">
        <v>8547.2999999999993</v>
      </c>
      <c r="BO16" s="24">
        <v>8547.2999999999993</v>
      </c>
      <c r="BP16" s="21">
        <v>9628.7000000000007</v>
      </c>
      <c r="BQ16" s="22">
        <f t="shared" si="9"/>
        <v>102.96978761180642</v>
      </c>
      <c r="BR16" s="21">
        <f>BR17+BR18+BR19</f>
        <v>9916.4</v>
      </c>
      <c r="BS16" s="22">
        <f t="shared" si="10"/>
        <v>102.98794229750641</v>
      </c>
      <c r="BT16" s="22">
        <f t="shared" si="11"/>
        <v>122.21345822035987</v>
      </c>
      <c r="BU16" s="21">
        <f>BU17+BU18+BU19</f>
        <v>10114.700000000001</v>
      </c>
      <c r="BV16" s="22">
        <f t="shared" si="12"/>
        <v>101.99971763946594</v>
      </c>
      <c r="BW16" s="22">
        <f t="shared" si="13"/>
        <v>124.65738230219374</v>
      </c>
      <c r="BX16" s="21">
        <f>BX17+BX18+BX19</f>
        <v>10114.700000000001</v>
      </c>
      <c r="BY16" s="22">
        <f t="shared" si="14"/>
        <v>100</v>
      </c>
    </row>
    <row r="17" spans="1:77" ht="22.5" hidden="1" customHeight="1" x14ac:dyDescent="0.25">
      <c r="A17" s="33" t="s">
        <v>97</v>
      </c>
      <c r="B17" s="30" t="s">
        <v>98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>
        <v>1686</v>
      </c>
      <c r="W17" s="22">
        <v>1361.6</v>
      </c>
      <c r="X17" s="22">
        <v>1395.64111</v>
      </c>
      <c r="Y17" s="22">
        <v>1395.64111</v>
      </c>
      <c r="Z17" s="22">
        <v>1561.7</v>
      </c>
      <c r="AA17" s="22">
        <v>1561.7</v>
      </c>
      <c r="AB17" s="22">
        <v>2059.7260799999999</v>
      </c>
      <c r="AC17" s="22">
        <v>2059.7260799999999</v>
      </c>
      <c r="AD17" s="22">
        <v>1910</v>
      </c>
      <c r="AE17" s="22">
        <v>2160</v>
      </c>
      <c r="AF17" s="22">
        <v>2398.6550400000001</v>
      </c>
      <c r="AG17" s="22">
        <v>2398.6550400000001</v>
      </c>
      <c r="AH17" s="22">
        <v>1968.3</v>
      </c>
      <c r="AI17" s="22">
        <v>2190.6999999999998</v>
      </c>
      <c r="AJ17" s="22">
        <v>2190.6999999999998</v>
      </c>
      <c r="AK17" s="22">
        <v>2048.3000000000002</v>
      </c>
      <c r="AL17" s="22">
        <v>2232.1000300000001</v>
      </c>
      <c r="AM17" s="22">
        <v>2232.1000300000001</v>
      </c>
      <c r="AN17" s="22">
        <v>2714.8</v>
      </c>
      <c r="AO17" s="22">
        <v>2714.8</v>
      </c>
      <c r="AP17" s="22">
        <v>2714.8</v>
      </c>
      <c r="AQ17" s="22"/>
      <c r="AR17" s="22"/>
      <c r="AS17" s="22"/>
      <c r="AT17" s="22">
        <v>2714.8</v>
      </c>
      <c r="AU17" s="22">
        <v>2964.8</v>
      </c>
      <c r="AV17" s="22">
        <v>3568.2235099999998</v>
      </c>
      <c r="AW17" s="22">
        <v>3568.2235099999998</v>
      </c>
      <c r="AX17" s="22">
        <v>2964.8</v>
      </c>
      <c r="AY17" s="22">
        <v>3064.8</v>
      </c>
      <c r="AZ17" s="22">
        <v>3064.8</v>
      </c>
      <c r="BA17" s="22"/>
      <c r="BB17" s="22"/>
      <c r="BC17" s="34">
        <v>3764.8</v>
      </c>
      <c r="BD17" s="35">
        <v>3764.8</v>
      </c>
      <c r="BE17" s="35">
        <v>4687.7197500000002</v>
      </c>
      <c r="BF17" s="22">
        <v>4687.7197500000002</v>
      </c>
      <c r="BG17" s="22">
        <f t="shared" si="3"/>
        <v>131.37405033240196</v>
      </c>
      <c r="BH17" s="35">
        <v>3490.6</v>
      </c>
      <c r="BI17" s="22">
        <v>3545.8</v>
      </c>
      <c r="BJ17" s="22">
        <v>3545.8</v>
      </c>
      <c r="BK17" s="21">
        <v>3490.6</v>
      </c>
      <c r="BL17" s="29">
        <v>3490.6</v>
      </c>
      <c r="BM17" s="29"/>
      <c r="BN17" s="25"/>
      <c r="BO17" s="29"/>
      <c r="BP17" s="35"/>
      <c r="BQ17" s="22">
        <f t="shared" si="9"/>
        <v>0</v>
      </c>
      <c r="BR17" s="35">
        <v>4320</v>
      </c>
      <c r="BS17" s="22" t="e">
        <f t="shared" si="10"/>
        <v>#DIV/0!</v>
      </c>
      <c r="BT17" s="22">
        <f t="shared" si="11"/>
        <v>121.83428281346944</v>
      </c>
      <c r="BU17" s="22">
        <v>4406</v>
      </c>
      <c r="BV17" s="22">
        <f t="shared" si="12"/>
        <v>101.99074074074075</v>
      </c>
      <c r="BW17" s="22">
        <f t="shared" si="13"/>
        <v>124.25968751762649</v>
      </c>
      <c r="BX17" s="22">
        <v>4406</v>
      </c>
      <c r="BY17" s="22">
        <f t="shared" si="14"/>
        <v>100</v>
      </c>
    </row>
    <row r="18" spans="1:77" ht="22.5" hidden="1" customHeight="1" x14ac:dyDescent="0.25">
      <c r="A18" s="33" t="s">
        <v>99</v>
      </c>
      <c r="B18" s="30" t="s">
        <v>100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>
        <v>42</v>
      </c>
      <c r="W18" s="22">
        <v>42</v>
      </c>
      <c r="X18" s="22">
        <v>14.16812</v>
      </c>
      <c r="Y18" s="22">
        <v>14.16812</v>
      </c>
      <c r="Z18" s="22">
        <v>15.8</v>
      </c>
      <c r="AA18" s="22">
        <v>15.8</v>
      </c>
      <c r="AB18" s="22">
        <v>19.836559999999999</v>
      </c>
      <c r="AC18" s="22">
        <v>19.836559999999999</v>
      </c>
      <c r="AD18" s="22">
        <v>16</v>
      </c>
      <c r="AE18" s="22">
        <v>16</v>
      </c>
      <c r="AF18" s="22">
        <v>17.630739999999999</v>
      </c>
      <c r="AG18" s="22">
        <v>17.630739999999999</v>
      </c>
      <c r="AH18" s="22">
        <v>17.2</v>
      </c>
      <c r="AI18" s="22">
        <v>19.2</v>
      </c>
      <c r="AJ18" s="22">
        <v>19.2</v>
      </c>
      <c r="AK18" s="22">
        <v>17.2</v>
      </c>
      <c r="AL18" s="22">
        <v>15.965590000000001</v>
      </c>
      <c r="AM18" s="22">
        <v>15.965590000000001</v>
      </c>
      <c r="AN18" s="22">
        <v>23.8</v>
      </c>
      <c r="AO18" s="22">
        <v>23.8</v>
      </c>
      <c r="AP18" s="22">
        <v>23.8</v>
      </c>
      <c r="AQ18" s="22"/>
      <c r="AR18" s="22"/>
      <c r="AS18" s="22"/>
      <c r="AT18" s="22">
        <v>23.8</v>
      </c>
      <c r="AU18" s="22">
        <v>23.8</v>
      </c>
      <c r="AV18" s="22">
        <v>25.094360000000002</v>
      </c>
      <c r="AW18" s="22">
        <v>25.094360000000002</v>
      </c>
      <c r="AX18" s="22">
        <v>25</v>
      </c>
      <c r="AY18" s="22">
        <v>25.5</v>
      </c>
      <c r="AZ18" s="22">
        <v>25.5</v>
      </c>
      <c r="BA18" s="22"/>
      <c r="BB18" s="22"/>
      <c r="BC18" s="34">
        <v>25</v>
      </c>
      <c r="BD18" s="35">
        <v>25</v>
      </c>
      <c r="BE18" s="35">
        <v>25.320959999999999</v>
      </c>
      <c r="BF18" s="22">
        <v>25.320959999999999</v>
      </c>
      <c r="BG18" s="22">
        <f t="shared" si="3"/>
        <v>100.90299174794654</v>
      </c>
      <c r="BH18" s="35">
        <v>24</v>
      </c>
      <c r="BI18" s="22">
        <v>24.4</v>
      </c>
      <c r="BJ18" s="22">
        <v>24.4</v>
      </c>
      <c r="BK18" s="21">
        <v>24</v>
      </c>
      <c r="BL18" s="29">
        <v>24</v>
      </c>
      <c r="BM18" s="29"/>
      <c r="BN18" s="25"/>
      <c r="BO18" s="29"/>
      <c r="BP18" s="35"/>
      <c r="BQ18" s="22">
        <f t="shared" si="9"/>
        <v>0</v>
      </c>
      <c r="BR18" s="35">
        <v>26</v>
      </c>
      <c r="BS18" s="22" t="e">
        <f t="shared" si="10"/>
        <v>#DIV/0!</v>
      </c>
      <c r="BT18" s="22">
        <f t="shared" si="11"/>
        <v>106.55737704918033</v>
      </c>
      <c r="BU18" s="22">
        <v>26.3</v>
      </c>
      <c r="BV18" s="22">
        <f t="shared" si="12"/>
        <v>101.15384615384615</v>
      </c>
      <c r="BW18" s="22">
        <f t="shared" si="13"/>
        <v>107.78688524590166</v>
      </c>
      <c r="BX18" s="22">
        <v>26.3</v>
      </c>
      <c r="BY18" s="22">
        <f t="shared" si="14"/>
        <v>100</v>
      </c>
    </row>
    <row r="19" spans="1:77" ht="22.5" hidden="1" customHeight="1" x14ac:dyDescent="0.25">
      <c r="A19" s="33" t="s">
        <v>101</v>
      </c>
      <c r="B19" s="30" t="s">
        <v>102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>
        <v>2487</v>
      </c>
      <c r="W19" s="22">
        <v>2077.3000000000002</v>
      </c>
      <c r="X19" s="22">
        <v>2257.0454599999998</v>
      </c>
      <c r="Y19" s="22">
        <v>2257.0454599999998</v>
      </c>
      <c r="Z19" s="22">
        <v>2366.1999999999998</v>
      </c>
      <c r="AA19" s="22">
        <v>2366.1999999999998</v>
      </c>
      <c r="AB19" s="22">
        <v>3004.6584200000002</v>
      </c>
      <c r="AC19" s="22">
        <v>3004.6584200000002</v>
      </c>
      <c r="AD19" s="22">
        <v>2850.3</v>
      </c>
      <c r="AE19" s="22">
        <v>3000.3</v>
      </c>
      <c r="AF19" s="22">
        <v>3204.6112899999998</v>
      </c>
      <c r="AG19" s="22">
        <v>3204.6112899999998</v>
      </c>
      <c r="AH19" s="22">
        <v>2937.6</v>
      </c>
      <c r="AI19" s="22">
        <v>3269.6</v>
      </c>
      <c r="AJ19" s="22">
        <v>3269.6</v>
      </c>
      <c r="AK19" s="22">
        <v>2787.6</v>
      </c>
      <c r="AL19" s="22">
        <v>3002.8016699999998</v>
      </c>
      <c r="AM19" s="22">
        <v>3002.8016699999998</v>
      </c>
      <c r="AN19" s="22">
        <v>4051.8</v>
      </c>
      <c r="AO19" s="22">
        <v>4051.8</v>
      </c>
      <c r="AP19" s="22">
        <v>4051.8</v>
      </c>
      <c r="AQ19" s="22"/>
      <c r="AR19" s="22"/>
      <c r="AS19" s="22"/>
      <c r="AT19" s="22">
        <v>4051.8</v>
      </c>
      <c r="AU19" s="22">
        <v>4051.8</v>
      </c>
      <c r="AV19" s="22">
        <v>4744.2783600000002</v>
      </c>
      <c r="AW19" s="22">
        <v>4744.2783600000002</v>
      </c>
      <c r="AX19" s="22">
        <v>4497</v>
      </c>
      <c r="AY19" s="22">
        <v>4805.8999999999996</v>
      </c>
      <c r="AZ19" s="22">
        <v>4805.8999999999996</v>
      </c>
      <c r="BA19" s="22"/>
      <c r="BB19" s="22"/>
      <c r="BC19" s="34">
        <v>4813.7</v>
      </c>
      <c r="BD19" s="35">
        <v>4813.7</v>
      </c>
      <c r="BE19" s="35">
        <v>5175.7719999999999</v>
      </c>
      <c r="BF19" s="22">
        <v>4637.9545900000003</v>
      </c>
      <c r="BG19" s="22">
        <f t="shared" si="3"/>
        <v>109.09503210515665</v>
      </c>
      <c r="BH19" s="35">
        <v>4473.1000000000004</v>
      </c>
      <c r="BI19" s="22">
        <v>4543.8</v>
      </c>
      <c r="BJ19" s="22">
        <v>4543.8</v>
      </c>
      <c r="BK19" s="21">
        <v>4473.1000000000004</v>
      </c>
      <c r="BL19" s="29">
        <v>4473.1000000000004</v>
      </c>
      <c r="BM19" s="29"/>
      <c r="BN19" s="25"/>
      <c r="BO19" s="29"/>
      <c r="BP19" s="35"/>
      <c r="BQ19" s="22">
        <f t="shared" si="9"/>
        <v>0</v>
      </c>
      <c r="BR19" s="35">
        <v>5570.4</v>
      </c>
      <c r="BS19" s="22" t="e">
        <f t="shared" si="10"/>
        <v>#DIV/0!</v>
      </c>
      <c r="BT19" s="22">
        <f t="shared" si="11"/>
        <v>122.5934240063383</v>
      </c>
      <c r="BU19" s="22">
        <v>5682.4</v>
      </c>
      <c r="BV19" s="22">
        <f t="shared" si="12"/>
        <v>102.01062760304467</v>
      </c>
      <c r="BW19" s="22">
        <f t="shared" si="13"/>
        <v>125.05832122892733</v>
      </c>
      <c r="BX19" s="22">
        <v>5682.4</v>
      </c>
      <c r="BY19" s="22">
        <f t="shared" si="14"/>
        <v>100</v>
      </c>
    </row>
    <row r="20" spans="1:77" ht="22.5" hidden="1" customHeight="1" x14ac:dyDescent="0.25">
      <c r="A20" s="33" t="s">
        <v>103</v>
      </c>
      <c r="B20" s="30" t="s">
        <v>104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>
        <v>-270.30268999999998</v>
      </c>
      <c r="Y20" s="22">
        <v>-270.30268999999998</v>
      </c>
      <c r="Z20" s="22"/>
      <c r="AA20" s="22"/>
      <c r="AB20" s="22">
        <v>-461.49556999999999</v>
      </c>
      <c r="AC20" s="22">
        <v>-461.49556999999999</v>
      </c>
      <c r="AD20" s="22"/>
      <c r="AE20" s="22"/>
      <c r="AF20" s="22">
        <v>-351.24898000000002</v>
      </c>
      <c r="AG20" s="22">
        <v>-351.24898000000002</v>
      </c>
      <c r="AH20" s="22"/>
      <c r="AI20" s="22"/>
      <c r="AJ20" s="22"/>
      <c r="AK20" s="22"/>
      <c r="AL20" s="22">
        <v>-411.49754000000001</v>
      </c>
      <c r="AM20" s="22">
        <v>-411.49754000000001</v>
      </c>
      <c r="AN20" s="22"/>
      <c r="AO20" s="22"/>
      <c r="AP20" s="22"/>
      <c r="AQ20" s="22"/>
      <c r="AR20" s="22"/>
      <c r="AS20" s="22"/>
      <c r="AT20" s="22">
        <v>0</v>
      </c>
      <c r="AU20" s="22">
        <v>0</v>
      </c>
      <c r="AV20" s="22">
        <v>-608.47373000000005</v>
      </c>
      <c r="AW20" s="22">
        <v>-608.47373000000005</v>
      </c>
      <c r="AX20" s="22"/>
      <c r="AY20" s="22"/>
      <c r="AZ20" s="22"/>
      <c r="BA20" s="22"/>
      <c r="BB20" s="22"/>
      <c r="BC20" s="28"/>
      <c r="BD20" s="22"/>
      <c r="BE20" s="22">
        <v>-537.81741</v>
      </c>
      <c r="BF20" s="22">
        <v>0</v>
      </c>
      <c r="BG20" s="22">
        <f t="shared" si="3"/>
        <v>88.387942401391754</v>
      </c>
      <c r="BH20" s="22"/>
      <c r="BI20" s="22"/>
      <c r="BJ20" s="22"/>
      <c r="BK20" s="21"/>
      <c r="BL20" s="29"/>
      <c r="BM20" s="29"/>
      <c r="BN20" s="25"/>
      <c r="BO20" s="29"/>
      <c r="BP20" s="22"/>
      <c r="BQ20" s="22">
        <f t="shared" si="9"/>
        <v>0</v>
      </c>
      <c r="BR20" s="22"/>
      <c r="BS20" s="22" t="e">
        <f t="shared" si="10"/>
        <v>#DIV/0!</v>
      </c>
      <c r="BT20" s="22" t="e">
        <f t="shared" si="11"/>
        <v>#DIV/0!</v>
      </c>
      <c r="BU20" s="22"/>
      <c r="BV20" s="22" t="e">
        <f t="shared" si="12"/>
        <v>#DIV/0!</v>
      </c>
      <c r="BW20" s="22" t="e">
        <f t="shared" si="13"/>
        <v>#DIV/0!</v>
      </c>
      <c r="BX20" s="22"/>
      <c r="BY20" s="22" t="e">
        <f t="shared" si="14"/>
        <v>#DIV/0!</v>
      </c>
    </row>
    <row r="21" spans="1:77" s="37" customFormat="1" ht="20.25" customHeight="1" x14ac:dyDescent="0.25">
      <c r="A21" s="19" t="s">
        <v>105</v>
      </c>
      <c r="B21" s="36" t="s">
        <v>106</v>
      </c>
      <c r="C21" s="21">
        <v>0.66779999999999995</v>
      </c>
      <c r="D21" s="21">
        <v>0</v>
      </c>
      <c r="E21" s="21">
        <v>0.3</v>
      </c>
      <c r="F21" s="21">
        <v>0.3</v>
      </c>
      <c r="G21" s="21">
        <v>0</v>
      </c>
      <c r="H21" s="21">
        <v>0.5</v>
      </c>
      <c r="I21" s="21">
        <v>0.5</v>
      </c>
      <c r="J21" s="21">
        <v>0</v>
      </c>
      <c r="K21" s="21">
        <v>9.5</v>
      </c>
      <c r="L21" s="21">
        <f>9.469+0.245</f>
        <v>9.7139999999999986</v>
      </c>
      <c r="M21" s="21">
        <f>9.469+0.245</f>
        <v>9.7139999999999986</v>
      </c>
      <c r="N21" s="21">
        <v>0</v>
      </c>
      <c r="O21" s="21">
        <v>0</v>
      </c>
      <c r="P21" s="21">
        <v>0.1</v>
      </c>
      <c r="Q21" s="21">
        <v>0.1</v>
      </c>
      <c r="R21" s="21">
        <v>0</v>
      </c>
      <c r="S21" s="21">
        <v>13.2</v>
      </c>
      <c r="T21" s="21">
        <f>12.1515+1+7.5/1000</f>
        <v>13.159000000000001</v>
      </c>
      <c r="U21" s="21">
        <v>13.159000000000001</v>
      </c>
      <c r="V21" s="21">
        <v>5</v>
      </c>
      <c r="W21" s="21">
        <v>47.8</v>
      </c>
      <c r="X21" s="21">
        <v>47.876620000000003</v>
      </c>
      <c r="Y21" s="21">
        <v>47.876620000000003</v>
      </c>
      <c r="Z21" s="21">
        <v>16</v>
      </c>
      <c r="AA21" s="21">
        <v>27.8</v>
      </c>
      <c r="AB21" s="21">
        <f>20.537+0.30718+7.2731</f>
        <v>28.117279999999997</v>
      </c>
      <c r="AC21" s="21">
        <f>20.537+0.30718+7.2731</f>
        <v>28.117279999999997</v>
      </c>
      <c r="AD21" s="21">
        <v>10</v>
      </c>
      <c r="AE21" s="21">
        <v>10</v>
      </c>
      <c r="AF21" s="21">
        <v>11.41854</v>
      </c>
      <c r="AG21" s="21">
        <v>11.41854</v>
      </c>
      <c r="AH21" s="21">
        <v>15</v>
      </c>
      <c r="AI21" s="21">
        <v>16</v>
      </c>
      <c r="AJ21" s="21">
        <v>18</v>
      </c>
      <c r="AK21" s="21">
        <v>3</v>
      </c>
      <c r="AL21" s="21">
        <v>2.6288100000000001</v>
      </c>
      <c r="AM21" s="21">
        <v>2.6288100000000001</v>
      </c>
      <c r="AN21" s="21">
        <v>5</v>
      </c>
      <c r="AO21" s="21">
        <v>5</v>
      </c>
      <c r="AP21" s="21">
        <v>5</v>
      </c>
      <c r="AQ21" s="21">
        <v>5</v>
      </c>
      <c r="AR21" s="21">
        <v>84.4</v>
      </c>
      <c r="AS21" s="21">
        <v>84.4</v>
      </c>
      <c r="AT21" s="21">
        <v>78.400000000000006</v>
      </c>
      <c r="AU21" s="21">
        <v>85.4</v>
      </c>
      <c r="AV21" s="21">
        <f>83.5525+1.60452+0.12859</f>
        <v>85.285609999999991</v>
      </c>
      <c r="AW21" s="21">
        <v>85.285610000000005</v>
      </c>
      <c r="AX21" s="21">
        <v>5</v>
      </c>
      <c r="AY21" s="21">
        <v>5</v>
      </c>
      <c r="AZ21" s="21">
        <v>5</v>
      </c>
      <c r="BA21" s="21">
        <v>5</v>
      </c>
      <c r="BB21" s="21">
        <v>5</v>
      </c>
      <c r="BC21" s="29">
        <v>76.599999999999994</v>
      </c>
      <c r="BD21" s="21">
        <v>76.599999999999994</v>
      </c>
      <c r="BE21" s="21">
        <v>76.665229999999994</v>
      </c>
      <c r="BF21" s="21">
        <v>76.665229999999994</v>
      </c>
      <c r="BG21" s="22">
        <f t="shared" si="3"/>
        <v>89.892339399342987</v>
      </c>
      <c r="BH21" s="21">
        <v>12</v>
      </c>
      <c r="BI21" s="21">
        <v>12</v>
      </c>
      <c r="BJ21" s="21">
        <v>12</v>
      </c>
      <c r="BK21" s="21">
        <v>12</v>
      </c>
      <c r="BL21" s="29">
        <v>12</v>
      </c>
      <c r="BM21" s="29">
        <v>12</v>
      </c>
      <c r="BN21" s="25">
        <v>12</v>
      </c>
      <c r="BO21" s="29">
        <v>3.8</v>
      </c>
      <c r="BP21" s="21">
        <v>3.8</v>
      </c>
      <c r="BQ21" s="22">
        <f t="shared" si="9"/>
        <v>4.956614621778348</v>
      </c>
      <c r="BR21" s="21">
        <v>12</v>
      </c>
      <c r="BS21" s="22">
        <f t="shared" si="10"/>
        <v>315.78947368421052</v>
      </c>
      <c r="BT21" s="22">
        <f t="shared" si="11"/>
        <v>100</v>
      </c>
      <c r="BU21" s="21">
        <v>12</v>
      </c>
      <c r="BV21" s="22">
        <f t="shared" si="12"/>
        <v>100</v>
      </c>
      <c r="BW21" s="22">
        <f t="shared" si="13"/>
        <v>100</v>
      </c>
      <c r="BX21" s="21">
        <v>12</v>
      </c>
      <c r="BY21" s="22">
        <f t="shared" si="14"/>
        <v>100</v>
      </c>
    </row>
    <row r="22" spans="1:77" ht="22.5" customHeight="1" x14ac:dyDescent="0.25">
      <c r="A22" s="19" t="s">
        <v>107</v>
      </c>
      <c r="B22" s="20" t="s">
        <v>108</v>
      </c>
      <c r="C22" s="21">
        <f t="shared" ref="C22:AG22" si="22">C29+C23</f>
        <v>242.87862000000001</v>
      </c>
      <c r="D22" s="21">
        <f t="shared" si="22"/>
        <v>694</v>
      </c>
      <c r="E22" s="21">
        <f t="shared" si="22"/>
        <v>694</v>
      </c>
      <c r="F22" s="21">
        <f t="shared" si="22"/>
        <v>400.93340999999998</v>
      </c>
      <c r="G22" s="21">
        <f t="shared" si="22"/>
        <v>632</v>
      </c>
      <c r="H22" s="21">
        <f t="shared" si="22"/>
        <v>764.3</v>
      </c>
      <c r="I22" s="21">
        <f t="shared" si="22"/>
        <v>769.46163999999987</v>
      </c>
      <c r="J22" s="21">
        <f t="shared" si="22"/>
        <v>387</v>
      </c>
      <c r="K22" s="21">
        <f t="shared" si="22"/>
        <v>531</v>
      </c>
      <c r="L22" s="21">
        <f t="shared" si="22"/>
        <v>515.18920000000003</v>
      </c>
      <c r="M22" s="21">
        <f t="shared" si="22"/>
        <v>506.52123</v>
      </c>
      <c r="N22" s="21">
        <f t="shared" si="22"/>
        <v>792</v>
      </c>
      <c r="O22" s="21">
        <f t="shared" si="22"/>
        <v>792</v>
      </c>
      <c r="P22" s="21">
        <f t="shared" si="22"/>
        <v>754.62914000000001</v>
      </c>
      <c r="Q22" s="21">
        <f t="shared" si="22"/>
        <v>754.62914000000001</v>
      </c>
      <c r="R22" s="21">
        <f t="shared" si="22"/>
        <v>545</v>
      </c>
      <c r="S22" s="21">
        <f t="shared" si="22"/>
        <v>1260.0999999999999</v>
      </c>
      <c r="T22" s="21">
        <f t="shared" si="22"/>
        <v>1260.34384</v>
      </c>
      <c r="U22" s="21">
        <f t="shared" si="22"/>
        <v>1260.34384</v>
      </c>
      <c r="V22" s="21">
        <f t="shared" si="22"/>
        <v>1070</v>
      </c>
      <c r="W22" s="21">
        <f t="shared" si="22"/>
        <v>1992</v>
      </c>
      <c r="X22" s="21">
        <f t="shared" si="22"/>
        <v>2006.4058199999999</v>
      </c>
      <c r="Y22" s="21">
        <f t="shared" si="22"/>
        <v>1998.1884700000001</v>
      </c>
      <c r="Z22" s="21">
        <f t="shared" si="22"/>
        <v>1137</v>
      </c>
      <c r="AA22" s="21">
        <f t="shared" si="22"/>
        <v>1982.3</v>
      </c>
      <c r="AB22" s="21">
        <f t="shared" si="22"/>
        <v>2107.1220399999997</v>
      </c>
      <c r="AC22" s="21">
        <f t="shared" si="22"/>
        <v>2217.1391400000002</v>
      </c>
      <c r="AD22" s="21">
        <f t="shared" si="22"/>
        <v>1510</v>
      </c>
      <c r="AE22" s="21">
        <f t="shared" si="22"/>
        <v>1965</v>
      </c>
      <c r="AF22" s="21">
        <f t="shared" si="22"/>
        <v>2058.3388800000002</v>
      </c>
      <c r="AG22" s="21">
        <f t="shared" si="22"/>
        <v>2252.4068400000001</v>
      </c>
      <c r="AH22" s="21">
        <f t="shared" ref="AH22:AP22" si="23">AH29+AH23+AH26</f>
        <v>1987</v>
      </c>
      <c r="AI22" s="21">
        <f t="shared" si="23"/>
        <v>1996.2</v>
      </c>
      <c r="AJ22" s="21">
        <f t="shared" si="23"/>
        <v>2010.2</v>
      </c>
      <c r="AK22" s="21">
        <f t="shared" si="23"/>
        <v>1142.4000000000001</v>
      </c>
      <c r="AL22" s="21">
        <f t="shared" si="23"/>
        <v>1176.8465700000002</v>
      </c>
      <c r="AM22" s="21">
        <f t="shared" si="23"/>
        <v>1538.4100100000003</v>
      </c>
      <c r="AN22" s="21">
        <f t="shared" si="23"/>
        <v>1658.2</v>
      </c>
      <c r="AO22" s="21">
        <f t="shared" si="23"/>
        <v>1658.2</v>
      </c>
      <c r="AP22" s="21">
        <f t="shared" si="23"/>
        <v>1658.2</v>
      </c>
      <c r="AQ22" s="21">
        <v>1658.2</v>
      </c>
      <c r="AR22" s="21">
        <v>1658.2</v>
      </c>
      <c r="AS22" s="21">
        <v>1658.2</v>
      </c>
      <c r="AT22" s="21">
        <f t="shared" ref="AT22:AZ22" si="24">AT29+AT23+AT26</f>
        <v>1658.2</v>
      </c>
      <c r="AU22" s="21">
        <f t="shared" si="24"/>
        <v>2101.1999999999998</v>
      </c>
      <c r="AV22" s="21">
        <f t="shared" si="24"/>
        <v>2150.1361299999999</v>
      </c>
      <c r="AW22" s="21">
        <f>AW29+AW23+AW26</f>
        <v>2026.85113</v>
      </c>
      <c r="AX22" s="21">
        <f t="shared" si="24"/>
        <v>1695</v>
      </c>
      <c r="AY22" s="21">
        <f t="shared" si="24"/>
        <v>1710</v>
      </c>
      <c r="AZ22" s="21">
        <f t="shared" si="24"/>
        <v>1720</v>
      </c>
      <c r="BA22" s="21">
        <f>BA29+BA23+BA26-1</f>
        <v>1695</v>
      </c>
      <c r="BB22" s="21">
        <f>BB29+BB23+BB26-2</f>
        <v>1695</v>
      </c>
      <c r="BC22" s="29">
        <f>BC29+BC23+BC26</f>
        <v>1695</v>
      </c>
      <c r="BD22" s="21">
        <f>BD29+BD23+BD26</f>
        <v>2541</v>
      </c>
      <c r="BE22" s="21">
        <f>BE29+BE23+BE26</f>
        <v>2756.8085599999999</v>
      </c>
      <c r="BF22" s="21">
        <f>BF29+BF23+BF26</f>
        <v>2855.0708100000002</v>
      </c>
      <c r="BG22" s="22">
        <f t="shared" si="3"/>
        <v>128.21553582284113</v>
      </c>
      <c r="BH22" s="21">
        <f>BH29+BH23+BH26</f>
        <v>1742</v>
      </c>
      <c r="BI22" s="21">
        <f>BI29+BI23+BI26</f>
        <v>1765</v>
      </c>
      <c r="BJ22" s="21">
        <f>BJ29+BJ23+BJ26</f>
        <v>1783</v>
      </c>
      <c r="BK22" s="23">
        <f>BK29+BK23+BK26</f>
        <v>1742</v>
      </c>
      <c r="BL22" s="24">
        <f>BL29+BL23+BL26</f>
        <v>1742</v>
      </c>
      <c r="BM22" s="24">
        <v>1742</v>
      </c>
      <c r="BN22" s="25">
        <v>1742</v>
      </c>
      <c r="BO22" s="24">
        <f>BO23+BO26+BO29</f>
        <v>2392</v>
      </c>
      <c r="BP22" s="21">
        <f>BP29+BP23+BP26</f>
        <v>2778.8</v>
      </c>
      <c r="BQ22" s="22">
        <f t="shared" si="9"/>
        <v>100.79771371574675</v>
      </c>
      <c r="BR22" s="21">
        <f>BR29+BR23+BR26</f>
        <v>2088</v>
      </c>
      <c r="BS22" s="22">
        <f t="shared" si="10"/>
        <v>75.140348351806523</v>
      </c>
      <c r="BT22" s="22">
        <f t="shared" si="11"/>
        <v>118.300283286119</v>
      </c>
      <c r="BU22" s="21">
        <f>BU29+BU23+BU26</f>
        <v>2145</v>
      </c>
      <c r="BV22" s="22">
        <f t="shared" si="12"/>
        <v>102.72988505747126</v>
      </c>
      <c r="BW22" s="22">
        <f t="shared" si="13"/>
        <v>120.30286034772854</v>
      </c>
      <c r="BX22" s="21">
        <f>BX29+BX23+BX26</f>
        <v>2193</v>
      </c>
      <c r="BY22" s="22">
        <f t="shared" si="14"/>
        <v>102.23776223776224</v>
      </c>
    </row>
    <row r="23" spans="1:77" ht="21.75" customHeight="1" x14ac:dyDescent="0.25">
      <c r="A23" s="19" t="s">
        <v>109</v>
      </c>
      <c r="B23" s="20" t="s">
        <v>110</v>
      </c>
      <c r="C23" s="21">
        <f t="shared" ref="C23:AP23" si="25">C24</f>
        <v>112.69597</v>
      </c>
      <c r="D23" s="21">
        <f t="shared" si="25"/>
        <v>365</v>
      </c>
      <c r="E23" s="21">
        <f t="shared" si="25"/>
        <v>365</v>
      </c>
      <c r="F23" s="21">
        <f t="shared" si="25"/>
        <v>242.02986000000001</v>
      </c>
      <c r="G23" s="21">
        <f t="shared" si="25"/>
        <v>300</v>
      </c>
      <c r="H23" s="21">
        <f t="shared" si="25"/>
        <v>605</v>
      </c>
      <c r="I23" s="21">
        <f t="shared" si="25"/>
        <v>610.1957799999999</v>
      </c>
      <c r="J23" s="21">
        <f t="shared" si="25"/>
        <v>250</v>
      </c>
      <c r="K23" s="21">
        <f t="shared" si="25"/>
        <v>400</v>
      </c>
      <c r="L23" s="21">
        <f>L24</f>
        <v>400.00060999999999</v>
      </c>
      <c r="M23" s="21">
        <f>M24</f>
        <v>400.00060999999999</v>
      </c>
      <c r="N23" s="21">
        <f t="shared" si="25"/>
        <v>620</v>
      </c>
      <c r="O23" s="21">
        <f t="shared" si="25"/>
        <v>620</v>
      </c>
      <c r="P23" s="21">
        <f>P24</f>
        <v>391.67778999999996</v>
      </c>
      <c r="Q23" s="21">
        <f>Q24</f>
        <v>391.67778999999996</v>
      </c>
      <c r="R23" s="21">
        <f t="shared" si="25"/>
        <v>400</v>
      </c>
      <c r="S23" s="21">
        <f t="shared" si="25"/>
        <v>256.7</v>
      </c>
      <c r="T23" s="21">
        <f>T24</f>
        <v>256.75448999999998</v>
      </c>
      <c r="U23" s="21">
        <f>U24</f>
        <v>256.75448999999998</v>
      </c>
      <c r="V23" s="21">
        <f t="shared" si="25"/>
        <v>410</v>
      </c>
      <c r="W23" s="21">
        <f t="shared" si="25"/>
        <v>510.6</v>
      </c>
      <c r="X23" s="21">
        <f>X24</f>
        <v>517.86298999999997</v>
      </c>
      <c r="Y23" s="21">
        <f>Y24</f>
        <v>652.49690999999996</v>
      </c>
      <c r="Z23" s="21">
        <f t="shared" si="25"/>
        <v>392</v>
      </c>
      <c r="AA23" s="21">
        <f t="shared" si="25"/>
        <v>1144</v>
      </c>
      <c r="AB23" s="21">
        <f>AB24</f>
        <v>1155.4379999999999</v>
      </c>
      <c r="AC23" s="21">
        <f>AC24</f>
        <v>1276.95272</v>
      </c>
      <c r="AD23" s="21">
        <f t="shared" si="25"/>
        <v>460</v>
      </c>
      <c r="AE23" s="21">
        <f t="shared" si="25"/>
        <v>1130</v>
      </c>
      <c r="AF23" s="21">
        <f t="shared" si="25"/>
        <v>1161.23918</v>
      </c>
      <c r="AG23" s="21">
        <f t="shared" si="25"/>
        <v>1345.4595200000001</v>
      </c>
      <c r="AH23" s="21">
        <f t="shared" si="25"/>
        <v>890</v>
      </c>
      <c r="AI23" s="21">
        <f t="shared" si="25"/>
        <v>896</v>
      </c>
      <c r="AJ23" s="21">
        <f t="shared" si="25"/>
        <v>902</v>
      </c>
      <c r="AK23" s="21">
        <f t="shared" si="25"/>
        <v>485</v>
      </c>
      <c r="AL23" s="21">
        <f t="shared" si="25"/>
        <v>500.55209000000002</v>
      </c>
      <c r="AM23" s="21">
        <f t="shared" si="25"/>
        <v>677.34630000000004</v>
      </c>
      <c r="AN23" s="21">
        <f t="shared" si="25"/>
        <v>670</v>
      </c>
      <c r="AO23" s="21">
        <f t="shared" si="25"/>
        <v>670</v>
      </c>
      <c r="AP23" s="21">
        <f t="shared" si="25"/>
        <v>670</v>
      </c>
      <c r="AQ23" s="21">
        <v>670</v>
      </c>
      <c r="AR23" s="21">
        <v>670</v>
      </c>
      <c r="AS23" s="21">
        <v>670</v>
      </c>
      <c r="AT23" s="21">
        <f>AT24</f>
        <v>670</v>
      </c>
      <c r="AU23" s="21">
        <f>AU24</f>
        <v>850</v>
      </c>
      <c r="AV23" s="21">
        <f>AV24</f>
        <v>877.85059000000001</v>
      </c>
      <c r="AW23" s="21">
        <f>AW24</f>
        <v>1000.12789</v>
      </c>
      <c r="AX23" s="21">
        <f t="shared" ref="AX23:BH23" si="26">AX24</f>
        <v>730</v>
      </c>
      <c r="AY23" s="21">
        <f>AY24</f>
        <v>740</v>
      </c>
      <c r="AZ23" s="21">
        <f>AZ24</f>
        <v>745</v>
      </c>
      <c r="BA23" s="21">
        <f t="shared" si="26"/>
        <v>731</v>
      </c>
      <c r="BB23" s="21">
        <f t="shared" si="26"/>
        <v>732</v>
      </c>
      <c r="BC23" s="29">
        <f t="shared" si="26"/>
        <v>730</v>
      </c>
      <c r="BD23" s="21">
        <f t="shared" si="26"/>
        <v>1480</v>
      </c>
      <c r="BE23" s="21">
        <f t="shared" si="26"/>
        <v>1612.6362300000001</v>
      </c>
      <c r="BF23" s="21">
        <f>BF24</f>
        <v>1859.7434000000001</v>
      </c>
      <c r="BG23" s="22">
        <f t="shared" si="3"/>
        <v>183.70281325436028</v>
      </c>
      <c r="BH23" s="21">
        <f t="shared" si="26"/>
        <v>830</v>
      </c>
      <c r="BI23" s="21">
        <f>BI24</f>
        <v>840</v>
      </c>
      <c r="BJ23" s="21">
        <f>BJ24</f>
        <v>850</v>
      </c>
      <c r="BK23" s="23">
        <f>BK24</f>
        <v>830</v>
      </c>
      <c r="BL23" s="24">
        <f>BL24</f>
        <v>830</v>
      </c>
      <c r="BM23" s="24">
        <v>1742</v>
      </c>
      <c r="BN23" s="25">
        <v>1742</v>
      </c>
      <c r="BO23" s="24">
        <v>1480</v>
      </c>
      <c r="BP23" s="21">
        <f t="shared" ref="BP23:BR23" si="27">BP24</f>
        <v>1847</v>
      </c>
      <c r="BQ23" s="22">
        <f t="shared" si="9"/>
        <v>114.532959488328</v>
      </c>
      <c r="BR23" s="21">
        <f t="shared" si="27"/>
        <v>1350</v>
      </c>
      <c r="BS23" s="22">
        <f t="shared" si="10"/>
        <v>73.091499729290746</v>
      </c>
      <c r="BT23" s="22">
        <f t="shared" si="11"/>
        <v>160.71428571428572</v>
      </c>
      <c r="BU23" s="21">
        <f>BU24</f>
        <v>1400</v>
      </c>
      <c r="BV23" s="22">
        <f t="shared" si="12"/>
        <v>103.7037037037037</v>
      </c>
      <c r="BW23" s="22">
        <f t="shared" si="13"/>
        <v>164.70588235294116</v>
      </c>
      <c r="BX23" s="21">
        <f>BX24</f>
        <v>1440</v>
      </c>
      <c r="BY23" s="22">
        <f t="shared" si="14"/>
        <v>102.85714285714285</v>
      </c>
    </row>
    <row r="24" spans="1:77" ht="22.5" hidden="1" customHeight="1" x14ac:dyDescent="0.25">
      <c r="A24" s="11" t="s">
        <v>111</v>
      </c>
      <c r="B24" s="38" t="s">
        <v>112</v>
      </c>
      <c r="C24" s="22">
        <v>112.69597</v>
      </c>
      <c r="D24" s="22">
        <v>365</v>
      </c>
      <c r="E24" s="22">
        <v>365</v>
      </c>
      <c r="F24" s="22">
        <f>236.03484+5.99502</f>
        <v>242.02986000000001</v>
      </c>
      <c r="G24" s="22">
        <v>300</v>
      </c>
      <c r="H24" s="22">
        <v>605</v>
      </c>
      <c r="I24" s="22">
        <f>592.69351+17.50227</f>
        <v>610.1957799999999</v>
      </c>
      <c r="J24" s="22">
        <v>250</v>
      </c>
      <c r="K24" s="22">
        <v>400</v>
      </c>
      <c r="L24" s="22">
        <f>390.60427+9.39634</f>
        <v>400.00060999999999</v>
      </c>
      <c r="M24" s="22">
        <f>390.60427+9.39634</f>
        <v>400.00060999999999</v>
      </c>
      <c r="N24" s="22">
        <v>620</v>
      </c>
      <c r="O24" s="22">
        <v>620</v>
      </c>
      <c r="P24" s="22">
        <f>381.00937+10.03475+0.63367</f>
        <v>391.67778999999996</v>
      </c>
      <c r="Q24" s="22">
        <f>381.00937+10.03475+0.63367</f>
        <v>391.67778999999996</v>
      </c>
      <c r="R24" s="22">
        <v>400</v>
      </c>
      <c r="S24" s="22">
        <v>256.7</v>
      </c>
      <c r="T24" s="22">
        <f>1.36/1000+243.82709+12.29829+0.62775</f>
        <v>256.75448999999998</v>
      </c>
      <c r="U24" s="22">
        <v>256.75448999999998</v>
      </c>
      <c r="V24" s="22">
        <v>410</v>
      </c>
      <c r="W24" s="22">
        <v>510.6</v>
      </c>
      <c r="X24" s="22">
        <v>517.86298999999997</v>
      </c>
      <c r="Y24" s="22">
        <v>652.49690999999996</v>
      </c>
      <c r="Z24" s="22">
        <v>392</v>
      </c>
      <c r="AA24" s="22">
        <v>1144</v>
      </c>
      <c r="AB24" s="22">
        <f>1147.24199+8.19601</f>
        <v>1155.4379999999999</v>
      </c>
      <c r="AC24" s="22">
        <v>1276.95272</v>
      </c>
      <c r="AD24" s="22">
        <v>460</v>
      </c>
      <c r="AE24" s="22">
        <v>1130</v>
      </c>
      <c r="AF24" s="22">
        <v>1161.23918</v>
      </c>
      <c r="AG24" s="22">
        <v>1345.4595200000001</v>
      </c>
      <c r="AH24" s="22">
        <v>890</v>
      </c>
      <c r="AI24" s="22">
        <v>896</v>
      </c>
      <c r="AJ24" s="22">
        <v>902</v>
      </c>
      <c r="AK24" s="22">
        <v>485</v>
      </c>
      <c r="AL24" s="22">
        <v>500.55209000000002</v>
      </c>
      <c r="AM24" s="22">
        <v>677.34630000000004</v>
      </c>
      <c r="AN24" s="22">
        <v>670</v>
      </c>
      <c r="AO24" s="22">
        <v>670</v>
      </c>
      <c r="AP24" s="22">
        <v>670</v>
      </c>
      <c r="AQ24" s="22"/>
      <c r="AR24" s="22"/>
      <c r="AS24" s="22"/>
      <c r="AT24" s="22">
        <v>670</v>
      </c>
      <c r="AU24" s="22">
        <v>850</v>
      </c>
      <c r="AV24" s="22">
        <f>887.92015-10.06956</f>
        <v>877.85059000000001</v>
      </c>
      <c r="AW24" s="22">
        <v>1000.12789</v>
      </c>
      <c r="AX24" s="22">
        <v>730</v>
      </c>
      <c r="AY24" s="22">
        <v>740</v>
      </c>
      <c r="AZ24" s="22">
        <v>745</v>
      </c>
      <c r="BA24" s="22">
        <v>731</v>
      </c>
      <c r="BB24" s="22">
        <v>732</v>
      </c>
      <c r="BC24" s="22">
        <v>730</v>
      </c>
      <c r="BD24" s="22">
        <v>1480</v>
      </c>
      <c r="BE24" s="22">
        <v>1612.6362300000001</v>
      </c>
      <c r="BF24" s="22">
        <v>1859.7434000000001</v>
      </c>
      <c r="BG24" s="22">
        <f t="shared" si="3"/>
        <v>183.70281325436028</v>
      </c>
      <c r="BH24" s="22">
        <v>830</v>
      </c>
      <c r="BI24" s="22">
        <v>840</v>
      </c>
      <c r="BJ24" s="22">
        <v>850</v>
      </c>
      <c r="BK24" s="21">
        <v>830</v>
      </c>
      <c r="BL24" s="29">
        <v>830</v>
      </c>
      <c r="BM24" s="29"/>
      <c r="BN24" s="25"/>
      <c r="BO24" s="29"/>
      <c r="BP24" s="22">
        <v>1847</v>
      </c>
      <c r="BQ24" s="22">
        <f t="shared" si="9"/>
        <v>114.532959488328</v>
      </c>
      <c r="BR24" s="22">
        <v>1350</v>
      </c>
      <c r="BS24" s="22">
        <f>BR24/BP24*100</f>
        <v>73.091499729290746</v>
      </c>
      <c r="BT24" s="22">
        <f t="shared" si="11"/>
        <v>160.71428571428572</v>
      </c>
      <c r="BU24" s="22">
        <v>1400</v>
      </c>
      <c r="BV24" s="22">
        <f t="shared" si="12"/>
        <v>103.7037037037037</v>
      </c>
      <c r="BW24" s="22">
        <f t="shared" si="13"/>
        <v>164.70588235294116</v>
      </c>
      <c r="BX24" s="22">
        <v>1440</v>
      </c>
      <c r="BY24" s="22">
        <f t="shared" si="14"/>
        <v>102.85714285714285</v>
      </c>
    </row>
    <row r="25" spans="1:77" ht="22.5" hidden="1" customHeight="1" x14ac:dyDescent="0.25">
      <c r="A25" s="11"/>
      <c r="B25" s="38" t="s">
        <v>113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>
        <v>-277.09775000000002</v>
      </c>
      <c r="AD25" s="22"/>
      <c r="AE25" s="22"/>
      <c r="AF25" s="22"/>
      <c r="AG25" s="22">
        <v>-17.506799999999998</v>
      </c>
      <c r="AH25" s="22"/>
      <c r="AI25" s="22"/>
      <c r="AJ25" s="22"/>
      <c r="AK25" s="22"/>
      <c r="AL25" s="22"/>
      <c r="AM25" s="22">
        <v>-150.89265</v>
      </c>
      <c r="AN25" s="22"/>
      <c r="AO25" s="22"/>
      <c r="AP25" s="22"/>
      <c r="AQ25" s="22"/>
      <c r="AR25" s="22"/>
      <c r="AS25" s="22"/>
      <c r="AT25" s="22"/>
      <c r="AU25" s="22"/>
      <c r="AV25" s="22"/>
      <c r="AW25" s="22">
        <v>-21.101310000000002</v>
      </c>
      <c r="AX25" s="22"/>
      <c r="AY25" s="22"/>
      <c r="AZ25" s="22"/>
      <c r="BA25" s="22"/>
      <c r="BB25" s="22"/>
      <c r="BC25" s="22"/>
      <c r="BD25" s="22"/>
      <c r="BE25" s="22"/>
      <c r="BF25" s="22">
        <v>-4.0508600000000001</v>
      </c>
      <c r="BG25" s="22" t="e">
        <f t="shared" si="3"/>
        <v>#DIV/0!</v>
      </c>
      <c r="BH25" s="22"/>
      <c r="BI25" s="22"/>
      <c r="BJ25" s="22"/>
      <c r="BK25" s="21"/>
      <c r="BL25" s="29"/>
      <c r="BM25" s="29"/>
      <c r="BN25" s="25"/>
      <c r="BO25" s="29"/>
      <c r="BP25" s="22"/>
      <c r="BQ25" s="22" t="e">
        <f t="shared" si="9"/>
        <v>#DIV/0!</v>
      </c>
      <c r="BR25" s="22"/>
      <c r="BS25" s="22" t="e">
        <f t="shared" si="10"/>
        <v>#DIV/0!</v>
      </c>
      <c r="BT25" s="22" t="e">
        <f t="shared" si="11"/>
        <v>#DIV/0!</v>
      </c>
      <c r="BU25" s="22"/>
      <c r="BV25" s="22" t="e">
        <f t="shared" si="12"/>
        <v>#DIV/0!</v>
      </c>
      <c r="BW25" s="22" t="e">
        <f t="shared" si="13"/>
        <v>#DIV/0!</v>
      </c>
      <c r="BX25" s="22"/>
      <c r="BY25" s="22" t="e">
        <f t="shared" si="14"/>
        <v>#DIV/0!</v>
      </c>
    </row>
    <row r="26" spans="1:77" ht="22.5" customHeight="1" x14ac:dyDescent="0.25">
      <c r="A26" s="19" t="s">
        <v>114</v>
      </c>
      <c r="B26" s="20" t="s">
        <v>115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1">
        <v>88.2</v>
      </c>
      <c r="AI26" s="21">
        <v>88.2</v>
      </c>
      <c r="AJ26" s="21">
        <v>88.2</v>
      </c>
      <c r="AK26" s="21">
        <f>AK27+AK28</f>
        <v>108.2</v>
      </c>
      <c r="AL26" s="21">
        <f>AL27+AL28</f>
        <v>110.76734</v>
      </c>
      <c r="AM26" s="21">
        <f>AM27+AM28</f>
        <v>110.76734</v>
      </c>
      <c r="AN26" s="21">
        <v>88.2</v>
      </c>
      <c r="AO26" s="21">
        <v>88.2</v>
      </c>
      <c r="AP26" s="21">
        <v>88.2</v>
      </c>
      <c r="AQ26" s="21">
        <v>88.2</v>
      </c>
      <c r="AR26" s="21">
        <v>88.2</v>
      </c>
      <c r="AS26" s="21">
        <f>88.2</f>
        <v>88.2</v>
      </c>
      <c r="AT26" s="21">
        <f t="shared" ref="AT26:BA26" si="28">AT27+AT28</f>
        <v>88.2</v>
      </c>
      <c r="AU26" s="21">
        <f t="shared" si="28"/>
        <v>105.2</v>
      </c>
      <c r="AV26" s="21">
        <f t="shared" si="28"/>
        <v>116.14733</v>
      </c>
      <c r="AW26" s="21">
        <f>AW27+AW28</f>
        <v>116.14733</v>
      </c>
      <c r="AX26" s="21">
        <f t="shared" si="28"/>
        <v>95</v>
      </c>
      <c r="AY26" s="21">
        <f t="shared" si="28"/>
        <v>95</v>
      </c>
      <c r="AZ26" s="21">
        <f t="shared" si="28"/>
        <v>95</v>
      </c>
      <c r="BA26" s="21">
        <f t="shared" si="28"/>
        <v>95</v>
      </c>
      <c r="BB26" s="21">
        <v>95</v>
      </c>
      <c r="BC26" s="21">
        <f>BC27+BC28</f>
        <v>95</v>
      </c>
      <c r="BD26" s="21">
        <f>BD27+BD28</f>
        <v>95</v>
      </c>
      <c r="BE26" s="21">
        <f>BE27+BE28</f>
        <v>117.67567</v>
      </c>
      <c r="BF26" s="21">
        <f>BF27+BF28</f>
        <v>117.67567</v>
      </c>
      <c r="BG26" s="22">
        <f t="shared" si="3"/>
        <v>101.31586322302888</v>
      </c>
      <c r="BH26" s="21">
        <f>BH27+BH28</f>
        <v>102</v>
      </c>
      <c r="BI26" s="21">
        <f>BI27+BI28</f>
        <v>105</v>
      </c>
      <c r="BJ26" s="21">
        <f>BJ27+BJ28</f>
        <v>108</v>
      </c>
      <c r="BK26" s="23">
        <f>BK27+BK28</f>
        <v>102</v>
      </c>
      <c r="BL26" s="24">
        <f>BL27+BL28</f>
        <v>102</v>
      </c>
      <c r="BM26" s="24">
        <v>102</v>
      </c>
      <c r="BN26" s="25">
        <v>102</v>
      </c>
      <c r="BO26" s="24">
        <v>102</v>
      </c>
      <c r="BP26" s="21">
        <v>121.8</v>
      </c>
      <c r="BQ26" s="22">
        <f t="shared" si="9"/>
        <v>103.5048281433197</v>
      </c>
      <c r="BR26" s="21">
        <f>BR27+BR28</f>
        <v>118</v>
      </c>
      <c r="BS26" s="22">
        <f t="shared" si="10"/>
        <v>96.880131362889983</v>
      </c>
      <c r="BT26" s="22">
        <f t="shared" si="11"/>
        <v>112.38095238095238</v>
      </c>
      <c r="BU26" s="21">
        <f>BU27+BU28</f>
        <v>120</v>
      </c>
      <c r="BV26" s="22">
        <f t="shared" si="12"/>
        <v>101.69491525423729</v>
      </c>
      <c r="BW26" s="22">
        <f t="shared" si="13"/>
        <v>111.11111111111111</v>
      </c>
      <c r="BX26" s="21">
        <f>BX27+BX28</f>
        <v>123</v>
      </c>
      <c r="BY26" s="22">
        <f t="shared" si="14"/>
        <v>102.49999999999999</v>
      </c>
    </row>
    <row r="27" spans="1:77" ht="22.5" hidden="1" customHeight="1" x14ac:dyDescent="0.25">
      <c r="A27" s="11" t="s">
        <v>116</v>
      </c>
      <c r="B27" s="39" t="s">
        <v>117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>
        <v>3.2</v>
      </c>
      <c r="AI27" s="22">
        <v>3.2</v>
      </c>
      <c r="AJ27" s="22">
        <v>3.2</v>
      </c>
      <c r="AK27" s="22">
        <v>6.2</v>
      </c>
      <c r="AL27" s="22">
        <v>7.0842599999999996</v>
      </c>
      <c r="AM27" s="22">
        <v>7.0842599999999996</v>
      </c>
      <c r="AN27" s="22">
        <v>6</v>
      </c>
      <c r="AO27" s="22">
        <v>82.2</v>
      </c>
      <c r="AP27" s="22">
        <v>82.2</v>
      </c>
      <c r="AQ27" s="22">
        <v>82.2</v>
      </c>
      <c r="AR27" s="22">
        <v>82.2</v>
      </c>
      <c r="AS27" s="22"/>
      <c r="AT27" s="22">
        <v>6</v>
      </c>
      <c r="AU27" s="22">
        <v>8</v>
      </c>
      <c r="AV27" s="22">
        <f>8.56296+0.16141-0.08944</f>
        <v>8.6349300000000007</v>
      </c>
      <c r="AW27" s="22">
        <v>8.6349300000000007</v>
      </c>
      <c r="AX27" s="22">
        <v>9</v>
      </c>
      <c r="AY27" s="22">
        <v>9</v>
      </c>
      <c r="AZ27" s="22">
        <v>9</v>
      </c>
      <c r="BA27" s="22">
        <v>9</v>
      </c>
      <c r="BB27" s="22">
        <v>9</v>
      </c>
      <c r="BC27" s="22">
        <v>9</v>
      </c>
      <c r="BD27" s="22">
        <v>7.7</v>
      </c>
      <c r="BE27" s="22">
        <v>8.0746599999999997</v>
      </c>
      <c r="BF27" s="22">
        <v>8.0746599999999997</v>
      </c>
      <c r="BG27" s="22">
        <f t="shared" si="3"/>
        <v>93.511586081184205</v>
      </c>
      <c r="BH27" s="22">
        <v>9</v>
      </c>
      <c r="BI27" s="22">
        <v>10</v>
      </c>
      <c r="BJ27" s="22">
        <v>10</v>
      </c>
      <c r="BK27" s="21">
        <v>9</v>
      </c>
      <c r="BL27" s="29">
        <v>9</v>
      </c>
      <c r="BM27" s="29"/>
      <c r="BN27" s="25"/>
      <c r="BO27" s="29"/>
      <c r="BP27" s="22"/>
      <c r="BQ27" s="22">
        <f t="shared" si="9"/>
        <v>0</v>
      </c>
      <c r="BR27" s="22">
        <v>9</v>
      </c>
      <c r="BS27" s="22" t="e">
        <f t="shared" si="10"/>
        <v>#DIV/0!</v>
      </c>
      <c r="BT27" s="22">
        <f t="shared" si="11"/>
        <v>90</v>
      </c>
      <c r="BU27" s="22">
        <v>10</v>
      </c>
      <c r="BV27" s="22">
        <f t="shared" si="12"/>
        <v>111.11111111111111</v>
      </c>
      <c r="BW27" s="22">
        <f t="shared" si="13"/>
        <v>100</v>
      </c>
      <c r="BX27" s="22">
        <v>10</v>
      </c>
      <c r="BY27" s="22">
        <f t="shared" si="14"/>
        <v>100</v>
      </c>
    </row>
    <row r="28" spans="1:77" ht="22.5" hidden="1" customHeight="1" x14ac:dyDescent="0.25">
      <c r="A28" s="11" t="s">
        <v>118</v>
      </c>
      <c r="B28" s="38" t="s">
        <v>119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>
        <v>85</v>
      </c>
      <c r="AI28" s="22">
        <v>85</v>
      </c>
      <c r="AJ28" s="22">
        <v>85</v>
      </c>
      <c r="AK28" s="22">
        <v>102</v>
      </c>
      <c r="AL28" s="22">
        <v>103.68308</v>
      </c>
      <c r="AM28" s="22">
        <v>103.68308</v>
      </c>
      <c r="AN28" s="22">
        <v>82.8</v>
      </c>
      <c r="AO28" s="22">
        <v>6</v>
      </c>
      <c r="AP28" s="22">
        <v>6</v>
      </c>
      <c r="AQ28" s="22">
        <v>6</v>
      </c>
      <c r="AR28" s="22">
        <v>6</v>
      </c>
      <c r="AS28" s="22"/>
      <c r="AT28" s="22">
        <v>82.2</v>
      </c>
      <c r="AU28" s="22">
        <v>97.2</v>
      </c>
      <c r="AV28" s="22">
        <f>107.63453-0.12213</f>
        <v>107.5124</v>
      </c>
      <c r="AW28" s="22">
        <v>107.5124</v>
      </c>
      <c r="AX28" s="22">
        <v>86</v>
      </c>
      <c r="AY28" s="22">
        <v>86</v>
      </c>
      <c r="AZ28" s="22">
        <v>86</v>
      </c>
      <c r="BA28" s="22">
        <v>86</v>
      </c>
      <c r="BB28" s="22">
        <v>86</v>
      </c>
      <c r="BC28" s="22">
        <v>86</v>
      </c>
      <c r="BD28" s="22">
        <v>87.3</v>
      </c>
      <c r="BE28" s="22">
        <v>109.60101</v>
      </c>
      <c r="BF28" s="22">
        <v>109.60101</v>
      </c>
      <c r="BG28" s="22">
        <f t="shared" si="3"/>
        <v>101.94266893865267</v>
      </c>
      <c r="BH28" s="22">
        <v>93</v>
      </c>
      <c r="BI28" s="22">
        <v>95</v>
      </c>
      <c r="BJ28" s="22">
        <v>98</v>
      </c>
      <c r="BK28" s="21">
        <v>93</v>
      </c>
      <c r="BL28" s="29">
        <v>93</v>
      </c>
      <c r="BM28" s="29"/>
      <c r="BN28" s="25"/>
      <c r="BO28" s="29"/>
      <c r="BP28" s="22"/>
      <c r="BQ28" s="22">
        <f t="shared" si="9"/>
        <v>0</v>
      </c>
      <c r="BR28" s="22">
        <v>109</v>
      </c>
      <c r="BS28" s="22" t="e">
        <f t="shared" si="10"/>
        <v>#DIV/0!</v>
      </c>
      <c r="BT28" s="22">
        <f t="shared" si="11"/>
        <v>114.73684210526316</v>
      </c>
      <c r="BU28" s="22">
        <v>110</v>
      </c>
      <c r="BV28" s="22">
        <f t="shared" si="12"/>
        <v>100.91743119266054</v>
      </c>
      <c r="BW28" s="22">
        <f t="shared" si="13"/>
        <v>112.24489795918366</v>
      </c>
      <c r="BX28" s="22">
        <v>113</v>
      </c>
      <c r="BY28" s="22">
        <f t="shared" si="14"/>
        <v>102.72727272727273</v>
      </c>
    </row>
    <row r="29" spans="1:77" ht="22.5" customHeight="1" x14ac:dyDescent="0.25">
      <c r="A29" s="19" t="s">
        <v>120</v>
      </c>
      <c r="B29" s="20" t="s">
        <v>121</v>
      </c>
      <c r="C29" s="21">
        <f t="shared" ref="C29:AP29" si="29">C30+C32</f>
        <v>130.18265</v>
      </c>
      <c r="D29" s="21">
        <f t="shared" si="29"/>
        <v>329</v>
      </c>
      <c r="E29" s="21">
        <f t="shared" si="29"/>
        <v>329</v>
      </c>
      <c r="F29" s="21">
        <f t="shared" si="29"/>
        <v>158.90355</v>
      </c>
      <c r="G29" s="21">
        <f t="shared" si="29"/>
        <v>332</v>
      </c>
      <c r="H29" s="21">
        <f t="shared" si="29"/>
        <v>159.30000000000001</v>
      </c>
      <c r="I29" s="21">
        <f t="shared" si="29"/>
        <v>159.26586</v>
      </c>
      <c r="J29" s="21">
        <f t="shared" si="29"/>
        <v>137</v>
      </c>
      <c r="K29" s="21">
        <f t="shared" si="29"/>
        <v>131</v>
      </c>
      <c r="L29" s="21">
        <f t="shared" si="29"/>
        <v>115.18858999999999</v>
      </c>
      <c r="M29" s="21">
        <f t="shared" si="29"/>
        <v>106.52061999999999</v>
      </c>
      <c r="N29" s="21">
        <f t="shared" si="29"/>
        <v>172</v>
      </c>
      <c r="O29" s="21">
        <f t="shared" si="29"/>
        <v>172</v>
      </c>
      <c r="P29" s="21">
        <f t="shared" si="29"/>
        <v>362.95135000000005</v>
      </c>
      <c r="Q29" s="21">
        <f t="shared" si="29"/>
        <v>362.95135000000005</v>
      </c>
      <c r="R29" s="21">
        <f t="shared" si="29"/>
        <v>145</v>
      </c>
      <c r="S29" s="21">
        <f t="shared" si="29"/>
        <v>1003.4</v>
      </c>
      <c r="T29" s="21">
        <f t="shared" si="29"/>
        <v>1003.58935</v>
      </c>
      <c r="U29" s="21">
        <f t="shared" si="29"/>
        <v>1003.58935</v>
      </c>
      <c r="V29" s="21">
        <f t="shared" si="29"/>
        <v>660</v>
      </c>
      <c r="W29" s="21">
        <f t="shared" si="29"/>
        <v>1481.4</v>
      </c>
      <c r="X29" s="21">
        <f t="shared" si="29"/>
        <v>1488.5428300000001</v>
      </c>
      <c r="Y29" s="21">
        <f t="shared" si="29"/>
        <v>1345.69156</v>
      </c>
      <c r="Z29" s="21">
        <f t="shared" si="29"/>
        <v>745</v>
      </c>
      <c r="AA29" s="21">
        <f t="shared" si="29"/>
        <v>838.3</v>
      </c>
      <c r="AB29" s="21">
        <f t="shared" si="29"/>
        <v>951.68403999999998</v>
      </c>
      <c r="AC29" s="21">
        <f t="shared" si="29"/>
        <v>940.18642</v>
      </c>
      <c r="AD29" s="21">
        <f t="shared" si="29"/>
        <v>1050</v>
      </c>
      <c r="AE29" s="21">
        <f t="shared" si="29"/>
        <v>835</v>
      </c>
      <c r="AF29" s="21">
        <f t="shared" si="29"/>
        <v>897.09969999999998</v>
      </c>
      <c r="AG29" s="21">
        <f t="shared" si="29"/>
        <v>906.94731999999999</v>
      </c>
      <c r="AH29" s="21">
        <f t="shared" si="29"/>
        <v>1008.8</v>
      </c>
      <c r="AI29" s="21">
        <f t="shared" si="29"/>
        <v>1012</v>
      </c>
      <c r="AJ29" s="21">
        <f t="shared" si="29"/>
        <v>1020</v>
      </c>
      <c r="AK29" s="21">
        <f t="shared" si="29"/>
        <v>549.20000000000005</v>
      </c>
      <c r="AL29" s="21">
        <f t="shared" si="29"/>
        <v>565.52714000000003</v>
      </c>
      <c r="AM29" s="21">
        <f t="shared" si="29"/>
        <v>750.29637000000002</v>
      </c>
      <c r="AN29" s="21">
        <f t="shared" si="29"/>
        <v>900</v>
      </c>
      <c r="AO29" s="21">
        <f t="shared" si="29"/>
        <v>900</v>
      </c>
      <c r="AP29" s="21">
        <f t="shared" si="29"/>
        <v>900</v>
      </c>
      <c r="AQ29" s="21">
        <v>900</v>
      </c>
      <c r="AR29" s="21">
        <v>900</v>
      </c>
      <c r="AS29" s="21">
        <v>900</v>
      </c>
      <c r="AT29" s="21">
        <f>AT30+AT32</f>
        <v>900</v>
      </c>
      <c r="AU29" s="21">
        <f>AU30+AU32</f>
        <v>1146</v>
      </c>
      <c r="AV29" s="21">
        <f>AV30+AV32</f>
        <v>1156.1382100000001</v>
      </c>
      <c r="AW29" s="21">
        <f>AW30+AW32</f>
        <v>910.57591000000002</v>
      </c>
      <c r="AX29" s="21">
        <f t="shared" ref="AX29" si="30">AX30+AX32</f>
        <v>870</v>
      </c>
      <c r="AY29" s="21">
        <f>AY30+AY32</f>
        <v>875</v>
      </c>
      <c r="AZ29" s="21">
        <f>AZ30+AZ32</f>
        <v>880</v>
      </c>
      <c r="BA29" s="21">
        <v>870</v>
      </c>
      <c r="BB29" s="21">
        <v>870</v>
      </c>
      <c r="BC29" s="21">
        <f t="shared" ref="BC29:BE29" si="31">BC30+BC32</f>
        <v>870</v>
      </c>
      <c r="BD29" s="21">
        <f t="shared" si="31"/>
        <v>966</v>
      </c>
      <c r="BE29" s="21">
        <f t="shared" si="31"/>
        <v>1026.49666</v>
      </c>
      <c r="BF29" s="21">
        <f>BF30+BF32</f>
        <v>877.65174000000002</v>
      </c>
      <c r="BG29" s="22">
        <f t="shared" si="3"/>
        <v>88.786673697083316</v>
      </c>
      <c r="BH29" s="21">
        <f t="shared" ref="BH29" si="32">BH30+BH32</f>
        <v>810</v>
      </c>
      <c r="BI29" s="21">
        <f>BI30+BI32</f>
        <v>820</v>
      </c>
      <c r="BJ29" s="21">
        <f>BJ30+BJ32</f>
        <v>825</v>
      </c>
      <c r="BK29" s="23">
        <f>BK30+BK32</f>
        <v>810</v>
      </c>
      <c r="BL29" s="24">
        <f>BL30+BL32</f>
        <v>810</v>
      </c>
      <c r="BM29" s="24">
        <v>810</v>
      </c>
      <c r="BN29" s="25">
        <v>810</v>
      </c>
      <c r="BO29" s="24">
        <v>810</v>
      </c>
      <c r="BP29" s="21">
        <f t="shared" ref="BP29:BR29" si="33">BP30+BP32</f>
        <v>810</v>
      </c>
      <c r="BQ29" s="22">
        <f t="shared" si="9"/>
        <v>78.909170537388789</v>
      </c>
      <c r="BR29" s="21">
        <f t="shared" si="33"/>
        <v>620</v>
      </c>
      <c r="BS29" s="22">
        <f t="shared" si="10"/>
        <v>76.543209876543202</v>
      </c>
      <c r="BT29" s="22">
        <f t="shared" si="11"/>
        <v>75.609756097560975</v>
      </c>
      <c r="BU29" s="21">
        <f>BU30+BU32</f>
        <v>625</v>
      </c>
      <c r="BV29" s="22">
        <f t="shared" si="12"/>
        <v>100.80645161290323</v>
      </c>
      <c r="BW29" s="22">
        <f t="shared" si="13"/>
        <v>75.757575757575751</v>
      </c>
      <c r="BX29" s="21">
        <f>BX30+BX32</f>
        <v>630</v>
      </c>
      <c r="BY29" s="22">
        <f t="shared" si="14"/>
        <v>100.8</v>
      </c>
    </row>
    <row r="30" spans="1:77" ht="22.5" hidden="1" customHeight="1" x14ac:dyDescent="0.25">
      <c r="A30" s="11" t="s">
        <v>122</v>
      </c>
      <c r="B30" s="38" t="s">
        <v>123</v>
      </c>
      <c r="C30" s="22">
        <v>88.737409999999997</v>
      </c>
      <c r="D30" s="22">
        <v>220</v>
      </c>
      <c r="E30" s="22">
        <v>220</v>
      </c>
      <c r="F30" s="22">
        <f>90.45329+4.81949</f>
        <v>95.272779999999997</v>
      </c>
      <c r="G30" s="22">
        <v>220</v>
      </c>
      <c r="H30" s="22">
        <v>77.3</v>
      </c>
      <c r="I30" s="22">
        <f>64.63312+12.02417</f>
        <v>76.657290000000003</v>
      </c>
      <c r="J30" s="22">
        <v>65</v>
      </c>
      <c r="K30" s="22">
        <v>74</v>
      </c>
      <c r="L30" s="22">
        <f>80.99856-7.33059</f>
        <v>73.667969999999997</v>
      </c>
      <c r="M30" s="22">
        <v>65</v>
      </c>
      <c r="N30" s="22">
        <v>65</v>
      </c>
      <c r="O30" s="22">
        <v>65</v>
      </c>
      <c r="P30" s="22">
        <f>54.49812+0.31688</f>
        <v>54.814999999999998</v>
      </c>
      <c r="Q30" s="22">
        <f>54.49812+0.31688</f>
        <v>54.814999999999998</v>
      </c>
      <c r="R30" s="22">
        <v>55</v>
      </c>
      <c r="S30" s="22">
        <v>785</v>
      </c>
      <c r="T30" s="22">
        <f>778.50683+4.26091+2</f>
        <v>784.76774</v>
      </c>
      <c r="U30" s="22">
        <v>784.76774</v>
      </c>
      <c r="V30" s="22">
        <v>320</v>
      </c>
      <c r="W30" s="22">
        <v>990.4</v>
      </c>
      <c r="X30" s="22">
        <v>991.35937000000001</v>
      </c>
      <c r="Y30" s="22">
        <v>891.26621</v>
      </c>
      <c r="Z30" s="22">
        <v>482</v>
      </c>
      <c r="AA30" s="22">
        <v>461.3</v>
      </c>
      <c r="AB30" s="22">
        <f>514.343+32.9154</f>
        <v>547.25839999999994</v>
      </c>
      <c r="AC30" s="22">
        <v>587.34355000000005</v>
      </c>
      <c r="AD30" s="22">
        <v>683</v>
      </c>
      <c r="AE30" s="22">
        <v>514</v>
      </c>
      <c r="AF30" s="22">
        <v>555.67566999999997</v>
      </c>
      <c r="AG30" s="22">
        <v>554.93598999999995</v>
      </c>
      <c r="AH30" s="22">
        <v>639.79999999999995</v>
      </c>
      <c r="AI30" s="22">
        <v>642</v>
      </c>
      <c r="AJ30" s="22">
        <v>648</v>
      </c>
      <c r="AK30" s="22">
        <v>318</v>
      </c>
      <c r="AL30" s="22">
        <v>231.15287000000001</v>
      </c>
      <c r="AM30" s="22">
        <v>554.93568000000005</v>
      </c>
      <c r="AN30" s="22">
        <v>555.70000000000005</v>
      </c>
      <c r="AO30" s="22">
        <v>555.70000000000005</v>
      </c>
      <c r="AP30" s="22">
        <v>555.70000000000005</v>
      </c>
      <c r="AQ30" s="22"/>
      <c r="AR30" s="22"/>
      <c r="AS30" s="22"/>
      <c r="AT30" s="22">
        <v>344.3</v>
      </c>
      <c r="AU30" s="22">
        <v>925.7</v>
      </c>
      <c r="AV30" s="22">
        <f>913.52942+13.69826</f>
        <v>927.22767999999996</v>
      </c>
      <c r="AW30" s="22">
        <v>571.48896999999999</v>
      </c>
      <c r="AX30" s="22">
        <v>536</v>
      </c>
      <c r="AY30" s="22">
        <v>538</v>
      </c>
      <c r="AZ30" s="22">
        <v>540</v>
      </c>
      <c r="BA30" s="22">
        <v>536</v>
      </c>
      <c r="BB30" s="22">
        <v>536</v>
      </c>
      <c r="BC30" s="22">
        <v>536</v>
      </c>
      <c r="BD30" s="22">
        <v>702</v>
      </c>
      <c r="BE30" s="22">
        <v>741.89428999999996</v>
      </c>
      <c r="BF30" s="22">
        <v>555.89389000000006</v>
      </c>
      <c r="BG30" s="22">
        <f t="shared" si="3"/>
        <v>80.012094764038963</v>
      </c>
      <c r="BH30" s="22">
        <v>518</v>
      </c>
      <c r="BI30" s="22">
        <v>520</v>
      </c>
      <c r="BJ30" s="22">
        <v>525</v>
      </c>
      <c r="BK30" s="21">
        <v>518</v>
      </c>
      <c r="BL30" s="29">
        <v>518</v>
      </c>
      <c r="BM30" s="29"/>
      <c r="BN30" s="25"/>
      <c r="BO30" s="29"/>
      <c r="BP30" s="22">
        <v>518</v>
      </c>
      <c r="BQ30" s="22">
        <f t="shared" si="9"/>
        <v>69.821267932928833</v>
      </c>
      <c r="BR30" s="22">
        <v>223.2</v>
      </c>
      <c r="BS30" s="22">
        <f t="shared" si="10"/>
        <v>43.088803088803083</v>
      </c>
      <c r="BT30" s="22">
        <f t="shared" si="11"/>
        <v>42.92307692307692</v>
      </c>
      <c r="BU30" s="22">
        <v>224</v>
      </c>
      <c r="BV30" s="22">
        <f t="shared" si="12"/>
        <v>100.35842293906812</v>
      </c>
      <c r="BW30" s="22">
        <f t="shared" si="13"/>
        <v>42.666666666666671</v>
      </c>
      <c r="BX30" s="22">
        <v>225</v>
      </c>
      <c r="BY30" s="22">
        <f t="shared" si="14"/>
        <v>100.44642857142858</v>
      </c>
    </row>
    <row r="31" spans="1:77" ht="22.5" hidden="1" customHeight="1" x14ac:dyDescent="0.25">
      <c r="A31" s="11" t="s">
        <v>124</v>
      </c>
      <c r="B31" s="38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>
        <v>-4.1947700000000001</v>
      </c>
      <c r="AN31" s="22"/>
      <c r="AO31" s="22"/>
      <c r="AP31" s="22"/>
      <c r="AQ31" s="22"/>
      <c r="AR31" s="22"/>
      <c r="AS31" s="22"/>
      <c r="AT31" s="22"/>
      <c r="AU31" s="22"/>
      <c r="AV31" s="22"/>
      <c r="AW31" s="22">
        <v>0</v>
      </c>
      <c r="AX31" s="22"/>
      <c r="AY31" s="22"/>
      <c r="AZ31" s="22"/>
      <c r="BA31" s="22"/>
      <c r="BB31" s="22"/>
      <c r="BC31" s="22"/>
      <c r="BD31" s="22"/>
      <c r="BE31" s="22"/>
      <c r="BF31" s="22"/>
      <c r="BG31" s="22" t="e">
        <f t="shared" si="3"/>
        <v>#DIV/0!</v>
      </c>
      <c r="BH31" s="22"/>
      <c r="BI31" s="22"/>
      <c r="BJ31" s="22"/>
      <c r="BK31" s="21"/>
      <c r="BL31" s="29"/>
      <c r="BM31" s="29"/>
      <c r="BN31" s="25"/>
      <c r="BO31" s="29"/>
      <c r="BP31" s="22"/>
      <c r="BQ31" s="22" t="e">
        <f t="shared" si="9"/>
        <v>#DIV/0!</v>
      </c>
      <c r="BR31" s="22"/>
      <c r="BS31" s="22" t="e">
        <f t="shared" si="10"/>
        <v>#DIV/0!</v>
      </c>
      <c r="BT31" s="22" t="e">
        <f t="shared" si="11"/>
        <v>#DIV/0!</v>
      </c>
      <c r="BU31" s="22"/>
      <c r="BV31" s="22" t="e">
        <f t="shared" si="12"/>
        <v>#DIV/0!</v>
      </c>
      <c r="BW31" s="22" t="e">
        <f t="shared" si="13"/>
        <v>#DIV/0!</v>
      </c>
      <c r="BX31" s="22"/>
      <c r="BY31" s="22" t="e">
        <f t="shared" si="14"/>
        <v>#DIV/0!</v>
      </c>
    </row>
    <row r="32" spans="1:77" ht="22.5" hidden="1" customHeight="1" x14ac:dyDescent="0.25">
      <c r="A32" s="11" t="s">
        <v>125</v>
      </c>
      <c r="B32" s="38" t="s">
        <v>126</v>
      </c>
      <c r="C32" s="22">
        <v>41.445239999999998</v>
      </c>
      <c r="D32" s="22">
        <v>109</v>
      </c>
      <c r="E32" s="22">
        <v>109</v>
      </c>
      <c r="F32" s="22">
        <f>59.64011+0.53558+3.4+0.05508</f>
        <v>63.630769999999998</v>
      </c>
      <c r="G32" s="22">
        <v>112</v>
      </c>
      <c r="H32" s="22">
        <v>82</v>
      </c>
      <c r="I32" s="22">
        <f>70.28456+7.32401+5</f>
        <v>82.60857</v>
      </c>
      <c r="J32" s="22">
        <v>72</v>
      </c>
      <c r="K32" s="22">
        <v>57</v>
      </c>
      <c r="L32" s="22">
        <f>29.89935+0.30887+11.3124</f>
        <v>41.520619999999994</v>
      </c>
      <c r="M32" s="22">
        <f>29.89935+0.30887+11.3124</f>
        <v>41.520619999999994</v>
      </c>
      <c r="N32" s="22">
        <v>107</v>
      </c>
      <c r="O32" s="22">
        <v>107</v>
      </c>
      <c r="P32" s="22">
        <f>0.31688+292.83273+14.98674</f>
        <v>308.13635000000005</v>
      </c>
      <c r="Q32" s="22">
        <f>0.31688+292.83273+14.98674</f>
        <v>308.13635000000005</v>
      </c>
      <c r="R32" s="22">
        <v>90</v>
      </c>
      <c r="S32" s="22">
        <v>218.4</v>
      </c>
      <c r="T32" s="22">
        <f>-1.36/1000+199.55109+6.52082+1.0474+11.70366</f>
        <v>218.82160999999996</v>
      </c>
      <c r="U32" s="22">
        <v>218.82160999999999</v>
      </c>
      <c r="V32" s="22">
        <v>340</v>
      </c>
      <c r="W32" s="22">
        <v>491</v>
      </c>
      <c r="X32" s="22">
        <v>497.18346000000003</v>
      </c>
      <c r="Y32" s="22">
        <v>454.42534999999998</v>
      </c>
      <c r="Z32" s="22">
        <v>263</v>
      </c>
      <c r="AA32" s="22">
        <v>377</v>
      </c>
      <c r="AB32" s="22">
        <f>398.17367+6.23097+0.021</f>
        <v>404.42564000000004</v>
      </c>
      <c r="AC32" s="22">
        <v>352.84287</v>
      </c>
      <c r="AD32" s="22">
        <v>367</v>
      </c>
      <c r="AE32" s="22">
        <v>321</v>
      </c>
      <c r="AF32" s="22">
        <v>341.42403000000002</v>
      </c>
      <c r="AG32" s="22">
        <v>352.01132999999999</v>
      </c>
      <c r="AH32" s="22">
        <v>369</v>
      </c>
      <c r="AI32" s="22">
        <v>370</v>
      </c>
      <c r="AJ32" s="22">
        <v>372</v>
      </c>
      <c r="AK32" s="22">
        <v>231.2</v>
      </c>
      <c r="AL32" s="22">
        <v>334.37427000000002</v>
      </c>
      <c r="AM32" s="22">
        <v>195.36069000000001</v>
      </c>
      <c r="AN32" s="22">
        <v>344.3</v>
      </c>
      <c r="AO32" s="22">
        <v>344.3</v>
      </c>
      <c r="AP32" s="22">
        <v>344.3</v>
      </c>
      <c r="AQ32" s="22"/>
      <c r="AR32" s="22"/>
      <c r="AS32" s="22"/>
      <c r="AT32" s="22">
        <v>555.70000000000005</v>
      </c>
      <c r="AU32" s="22">
        <v>220.3</v>
      </c>
      <c r="AV32" s="22">
        <f>232.32768-3.41715</f>
        <v>228.91052999999999</v>
      </c>
      <c r="AW32" s="22">
        <v>339.08694000000003</v>
      </c>
      <c r="AX32" s="22">
        <v>334</v>
      </c>
      <c r="AY32" s="22">
        <v>337</v>
      </c>
      <c r="AZ32" s="22">
        <v>340</v>
      </c>
      <c r="BA32" s="22">
        <v>334</v>
      </c>
      <c r="BB32" s="22">
        <v>334</v>
      </c>
      <c r="BC32" s="22">
        <v>334</v>
      </c>
      <c r="BD32" s="22">
        <v>264</v>
      </c>
      <c r="BE32" s="22">
        <v>284.60237000000001</v>
      </c>
      <c r="BF32" s="22">
        <v>321.75785000000002</v>
      </c>
      <c r="BG32" s="22">
        <f t="shared" si="3"/>
        <v>124.32908612810429</v>
      </c>
      <c r="BH32" s="22">
        <v>292</v>
      </c>
      <c r="BI32" s="22">
        <v>300</v>
      </c>
      <c r="BJ32" s="22">
        <v>300</v>
      </c>
      <c r="BK32" s="21">
        <v>292</v>
      </c>
      <c r="BL32" s="29">
        <v>292</v>
      </c>
      <c r="BM32" s="29"/>
      <c r="BN32" s="25"/>
      <c r="BO32" s="29"/>
      <c r="BP32" s="22">
        <v>292</v>
      </c>
      <c r="BQ32" s="22">
        <f t="shared" si="9"/>
        <v>102.59928615492555</v>
      </c>
      <c r="BR32" s="22">
        <v>396.8</v>
      </c>
      <c r="BS32" s="22">
        <f t="shared" si="10"/>
        <v>135.89041095890411</v>
      </c>
      <c r="BT32" s="22">
        <f t="shared" si="11"/>
        <v>132.26666666666665</v>
      </c>
      <c r="BU32" s="22">
        <v>401</v>
      </c>
      <c r="BV32" s="22">
        <f t="shared" si="12"/>
        <v>101.05846774193547</v>
      </c>
      <c r="BW32" s="22">
        <f t="shared" si="13"/>
        <v>133.66666666666666</v>
      </c>
      <c r="BX32" s="22">
        <v>405</v>
      </c>
      <c r="BY32" s="22">
        <f t="shared" si="14"/>
        <v>100.99750623441398</v>
      </c>
    </row>
    <row r="33" spans="1:77" ht="22.5" hidden="1" customHeight="1" x14ac:dyDescent="0.25">
      <c r="A33" s="11"/>
      <c r="B33" s="38" t="s">
        <v>113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>
        <v>-154.69315</v>
      </c>
      <c r="AD33" s="22"/>
      <c r="AE33" s="22"/>
      <c r="AF33" s="22"/>
      <c r="AG33" s="22">
        <v>-13.29058</v>
      </c>
      <c r="AH33" s="22"/>
      <c r="AI33" s="22"/>
      <c r="AJ33" s="22"/>
      <c r="AK33" s="22"/>
      <c r="AL33" s="22"/>
      <c r="AM33" s="22">
        <v>-12.069559999999999</v>
      </c>
      <c r="AN33" s="22"/>
      <c r="AO33" s="22"/>
      <c r="AP33" s="22"/>
      <c r="AQ33" s="22"/>
      <c r="AR33" s="22"/>
      <c r="AS33" s="22"/>
      <c r="AT33" s="22"/>
      <c r="AU33" s="22"/>
      <c r="AV33" s="22"/>
      <c r="AW33" s="22">
        <v>-13.69693</v>
      </c>
      <c r="AX33" s="22"/>
      <c r="AY33" s="22"/>
      <c r="AZ33" s="22"/>
      <c r="BA33" s="22"/>
      <c r="BB33" s="22"/>
      <c r="BC33" s="22"/>
      <c r="BD33" s="22"/>
      <c r="BE33" s="22"/>
      <c r="BF33" s="22">
        <v>-6.6611599999999997</v>
      </c>
      <c r="BG33" s="22" t="e">
        <f t="shared" si="3"/>
        <v>#DIV/0!</v>
      </c>
      <c r="BH33" s="22"/>
      <c r="BI33" s="22"/>
      <c r="BJ33" s="22"/>
      <c r="BK33" s="21"/>
      <c r="BL33" s="29"/>
      <c r="BM33" s="29"/>
      <c r="BN33" s="25"/>
      <c r="BO33" s="29"/>
      <c r="BP33" s="22"/>
      <c r="BQ33" s="22" t="e">
        <f t="shared" si="9"/>
        <v>#DIV/0!</v>
      </c>
      <c r="BR33" s="22"/>
      <c r="BS33" s="22" t="e">
        <f t="shared" si="10"/>
        <v>#DIV/0!</v>
      </c>
      <c r="BT33" s="22" t="e">
        <f t="shared" si="11"/>
        <v>#DIV/0!</v>
      </c>
      <c r="BU33" s="22"/>
      <c r="BV33" s="22" t="e">
        <f t="shared" si="12"/>
        <v>#DIV/0!</v>
      </c>
      <c r="BW33" s="22" t="e">
        <f t="shared" si="13"/>
        <v>#DIV/0!</v>
      </c>
      <c r="BX33" s="22"/>
      <c r="BY33" s="22" t="e">
        <f t="shared" si="14"/>
        <v>#DIV/0!</v>
      </c>
    </row>
    <row r="34" spans="1:77" ht="22.5" customHeight="1" x14ac:dyDescent="0.25">
      <c r="A34" s="19" t="s">
        <v>127</v>
      </c>
      <c r="B34" s="20" t="s">
        <v>128</v>
      </c>
      <c r="C34" s="21">
        <f t="shared" ref="C34:AP34" si="34">C35+C36</f>
        <v>142.42343</v>
      </c>
      <c r="D34" s="21">
        <f t="shared" si="34"/>
        <v>118</v>
      </c>
      <c r="E34" s="21">
        <f t="shared" si="34"/>
        <v>144</v>
      </c>
      <c r="F34" s="21">
        <f t="shared" si="34"/>
        <v>138.09</v>
      </c>
      <c r="G34" s="21">
        <f t="shared" si="34"/>
        <v>120</v>
      </c>
      <c r="H34" s="21">
        <f t="shared" si="34"/>
        <v>148.80000000000001</v>
      </c>
      <c r="I34" s="21">
        <f t="shared" si="34"/>
        <v>163.16</v>
      </c>
      <c r="J34" s="21">
        <f t="shared" si="34"/>
        <v>123</v>
      </c>
      <c r="K34" s="21">
        <f t="shared" si="34"/>
        <v>154</v>
      </c>
      <c r="L34" s="21">
        <f t="shared" si="34"/>
        <v>154.15</v>
      </c>
      <c r="M34" s="21">
        <f t="shared" si="34"/>
        <v>154.15</v>
      </c>
      <c r="N34" s="21">
        <f t="shared" si="34"/>
        <v>158.69999999999999</v>
      </c>
      <c r="O34" s="21">
        <f t="shared" si="34"/>
        <v>158.69999999999999</v>
      </c>
      <c r="P34" s="21">
        <f t="shared" si="34"/>
        <v>160.15</v>
      </c>
      <c r="Q34" s="21">
        <f t="shared" si="34"/>
        <v>160.15</v>
      </c>
      <c r="R34" s="21">
        <f t="shared" si="34"/>
        <v>160</v>
      </c>
      <c r="S34" s="21">
        <f t="shared" si="34"/>
        <v>124.1</v>
      </c>
      <c r="T34" s="21">
        <f t="shared" si="34"/>
        <v>127</v>
      </c>
      <c r="U34" s="21">
        <f t="shared" si="34"/>
        <v>127</v>
      </c>
      <c r="V34" s="21">
        <f t="shared" si="34"/>
        <v>161</v>
      </c>
      <c r="W34" s="21">
        <f t="shared" si="34"/>
        <v>155.19999999999999</v>
      </c>
      <c r="X34" s="21">
        <f t="shared" si="34"/>
        <v>161.06</v>
      </c>
      <c r="Y34" s="21">
        <f t="shared" si="34"/>
        <v>161.06</v>
      </c>
      <c r="Z34" s="21">
        <f t="shared" si="34"/>
        <v>132</v>
      </c>
      <c r="AA34" s="21">
        <f t="shared" si="34"/>
        <v>132</v>
      </c>
      <c r="AB34" s="21">
        <f t="shared" si="34"/>
        <v>139.67500000000001</v>
      </c>
      <c r="AC34" s="21">
        <f t="shared" si="34"/>
        <v>139.67500000000001</v>
      </c>
      <c r="AD34" s="21">
        <f t="shared" si="34"/>
        <v>145.1</v>
      </c>
      <c r="AE34" s="21">
        <f t="shared" si="34"/>
        <v>80.099999999999994</v>
      </c>
      <c r="AF34" s="21">
        <f t="shared" si="34"/>
        <v>83.87</v>
      </c>
      <c r="AG34" s="21">
        <f t="shared" si="34"/>
        <v>83.87</v>
      </c>
      <c r="AH34" s="21">
        <f t="shared" si="34"/>
        <v>148.6</v>
      </c>
      <c r="AI34" s="21">
        <f t="shared" si="34"/>
        <v>148.6</v>
      </c>
      <c r="AJ34" s="21">
        <f t="shared" si="34"/>
        <v>148.6</v>
      </c>
      <c r="AK34" s="21">
        <f t="shared" si="34"/>
        <v>63.6</v>
      </c>
      <c r="AL34" s="21">
        <f t="shared" si="34"/>
        <v>63.965000000000003</v>
      </c>
      <c r="AM34" s="21">
        <f t="shared" si="34"/>
        <v>63.965000000000003</v>
      </c>
      <c r="AN34" s="21">
        <f t="shared" si="34"/>
        <v>67</v>
      </c>
      <c r="AO34" s="21">
        <f t="shared" si="34"/>
        <v>70</v>
      </c>
      <c r="AP34" s="21">
        <f t="shared" si="34"/>
        <v>73</v>
      </c>
      <c r="AQ34" s="21">
        <v>67</v>
      </c>
      <c r="AR34" s="21">
        <v>67</v>
      </c>
      <c r="AS34" s="21">
        <v>76.599999999999994</v>
      </c>
      <c r="AT34" s="21">
        <f>AT35+AT36</f>
        <v>76.599999999999994</v>
      </c>
      <c r="AU34" s="21">
        <f>AU35+AU36</f>
        <v>105.89999999999999</v>
      </c>
      <c r="AV34" s="21">
        <f>AV35+AV36</f>
        <v>114.02199999999999</v>
      </c>
      <c r="AW34" s="21">
        <f>AW35+AW36</f>
        <v>114.02199999999999</v>
      </c>
      <c r="AX34" s="21">
        <f t="shared" ref="AX34" si="35">AX35+AX36</f>
        <v>67.099999999999994</v>
      </c>
      <c r="AY34" s="21">
        <f>AY35+AY36</f>
        <v>67.099999999999994</v>
      </c>
      <c r="AZ34" s="21">
        <f>AZ35+AZ36</f>
        <v>67.099999999999994</v>
      </c>
      <c r="BA34" s="21">
        <v>67.099999999999994</v>
      </c>
      <c r="BB34" s="21">
        <v>67.099999999999994</v>
      </c>
      <c r="BC34" s="21">
        <v>67.099999999999994</v>
      </c>
      <c r="BD34" s="21">
        <v>67.099999999999994</v>
      </c>
      <c r="BE34" s="21">
        <f t="shared" ref="BE34:BH34" si="36">BE35+BE36</f>
        <v>73.5</v>
      </c>
      <c r="BF34" s="21">
        <f>BF35+BF36</f>
        <v>73.5</v>
      </c>
      <c r="BG34" s="22">
        <f t="shared" si="3"/>
        <v>64.461244321271337</v>
      </c>
      <c r="BH34" s="21">
        <f t="shared" si="36"/>
        <v>71.7</v>
      </c>
      <c r="BI34" s="21">
        <f>BI35+BI36</f>
        <v>76.099999999999994</v>
      </c>
      <c r="BJ34" s="21">
        <f>BJ35+BJ36</f>
        <v>71.7</v>
      </c>
      <c r="BK34" s="23">
        <f>BK35+BK36</f>
        <v>71.7</v>
      </c>
      <c r="BL34" s="24">
        <f>BL35+BL36</f>
        <v>71.7</v>
      </c>
      <c r="BM34" s="24">
        <v>71.7</v>
      </c>
      <c r="BN34" s="25">
        <v>71.7</v>
      </c>
      <c r="BO34" s="24">
        <v>61.7</v>
      </c>
      <c r="BP34" s="21">
        <f t="shared" ref="BP34:BR34" si="37">BP35+BP36</f>
        <v>61.7</v>
      </c>
      <c r="BQ34" s="22">
        <f t="shared" si="9"/>
        <v>83.945578231292515</v>
      </c>
      <c r="BR34" s="21">
        <f t="shared" si="37"/>
        <v>74.2</v>
      </c>
      <c r="BS34" s="22">
        <f t="shared" si="10"/>
        <v>120.25931928687197</v>
      </c>
      <c r="BT34" s="22">
        <f t="shared" si="11"/>
        <v>97.503285151116955</v>
      </c>
      <c r="BU34" s="21">
        <f>BU35+BU36</f>
        <v>72.400000000000006</v>
      </c>
      <c r="BV34" s="22">
        <f t="shared" si="12"/>
        <v>97.574123989218336</v>
      </c>
      <c r="BW34" s="22">
        <f t="shared" si="13"/>
        <v>100.976290097629</v>
      </c>
      <c r="BX34" s="21">
        <f>BX35+BX36</f>
        <v>73.5</v>
      </c>
      <c r="BY34" s="22">
        <f t="shared" si="14"/>
        <v>101.51933701657458</v>
      </c>
    </row>
    <row r="35" spans="1:77" ht="22.5" hidden="1" customHeight="1" x14ac:dyDescent="0.25">
      <c r="A35" s="11" t="s">
        <v>129</v>
      </c>
      <c r="B35" s="38" t="s">
        <v>130</v>
      </c>
      <c r="C35" s="22">
        <v>142.42343</v>
      </c>
      <c r="D35" s="22">
        <v>118</v>
      </c>
      <c r="E35" s="22">
        <v>143</v>
      </c>
      <c r="F35" s="22">
        <v>137.09</v>
      </c>
      <c r="G35" s="22">
        <v>120</v>
      </c>
      <c r="H35" s="22">
        <v>148.80000000000001</v>
      </c>
      <c r="I35" s="22">
        <v>163.16</v>
      </c>
      <c r="J35" s="22">
        <v>123</v>
      </c>
      <c r="K35" s="22">
        <v>154</v>
      </c>
      <c r="L35" s="22">
        <v>154.15</v>
      </c>
      <c r="M35" s="22">
        <v>154.15</v>
      </c>
      <c r="N35" s="22">
        <v>158.69999999999999</v>
      </c>
      <c r="O35" s="22">
        <v>158.69999999999999</v>
      </c>
      <c r="P35" s="22">
        <v>160.15</v>
      </c>
      <c r="Q35" s="22">
        <v>160.15</v>
      </c>
      <c r="R35" s="22">
        <v>160</v>
      </c>
      <c r="S35" s="22">
        <v>124.1</v>
      </c>
      <c r="T35" s="22">
        <v>127</v>
      </c>
      <c r="U35" s="22">
        <v>127</v>
      </c>
      <c r="V35" s="22">
        <v>161</v>
      </c>
      <c r="W35" s="22">
        <v>155.19999999999999</v>
      </c>
      <c r="X35" s="22">
        <v>161.06</v>
      </c>
      <c r="Y35" s="22">
        <v>161.06</v>
      </c>
      <c r="Z35" s="22">
        <v>132</v>
      </c>
      <c r="AA35" s="22">
        <v>132</v>
      </c>
      <c r="AB35" s="22">
        <v>139.67500000000001</v>
      </c>
      <c r="AC35" s="22">
        <v>139.67500000000001</v>
      </c>
      <c r="AD35" s="22">
        <v>145.1</v>
      </c>
      <c r="AE35" s="22">
        <v>80.099999999999994</v>
      </c>
      <c r="AF35" s="22">
        <v>83.87</v>
      </c>
      <c r="AG35" s="22">
        <v>83.87</v>
      </c>
      <c r="AH35" s="22">
        <v>148.6</v>
      </c>
      <c r="AI35" s="22">
        <v>148.6</v>
      </c>
      <c r="AJ35" s="22">
        <v>148.6</v>
      </c>
      <c r="AK35" s="22">
        <v>63.6</v>
      </c>
      <c r="AL35" s="22">
        <v>63.965000000000003</v>
      </c>
      <c r="AM35" s="22">
        <v>63.965000000000003</v>
      </c>
      <c r="AN35" s="22">
        <v>67</v>
      </c>
      <c r="AO35" s="22">
        <v>70</v>
      </c>
      <c r="AP35" s="22">
        <v>73</v>
      </c>
      <c r="AQ35" s="22">
        <v>75</v>
      </c>
      <c r="AR35" s="22">
        <v>76</v>
      </c>
      <c r="AS35" s="22"/>
      <c r="AT35" s="22">
        <v>67</v>
      </c>
      <c r="AU35" s="22">
        <v>96.3</v>
      </c>
      <c r="AV35" s="22">
        <v>104.422</v>
      </c>
      <c r="AW35" s="22">
        <v>104.422</v>
      </c>
      <c r="AX35" s="22">
        <v>67.099999999999994</v>
      </c>
      <c r="AY35" s="22">
        <v>67.099999999999994</v>
      </c>
      <c r="AZ35" s="22">
        <v>67.099999999999994</v>
      </c>
      <c r="BA35" s="22">
        <v>68.099999999999994</v>
      </c>
      <c r="BB35" s="22">
        <v>69.099999999999994</v>
      </c>
      <c r="BC35" s="22">
        <v>67.099999999999994</v>
      </c>
      <c r="BD35" s="22">
        <v>67.099999999999994</v>
      </c>
      <c r="BE35" s="22">
        <v>73.5</v>
      </c>
      <c r="BF35" s="22">
        <v>73.5</v>
      </c>
      <c r="BG35" s="22">
        <f t="shared" si="3"/>
        <v>70.387466242745788</v>
      </c>
      <c r="BH35" s="22">
        <v>71.7</v>
      </c>
      <c r="BI35" s="22">
        <v>76.099999999999994</v>
      </c>
      <c r="BJ35" s="22">
        <v>71.7</v>
      </c>
      <c r="BK35" s="21">
        <v>71.7</v>
      </c>
      <c r="BL35" s="29">
        <v>71.7</v>
      </c>
      <c r="BM35" s="29"/>
      <c r="BN35" s="25"/>
      <c r="BO35" s="29"/>
      <c r="BP35" s="22">
        <v>61.7</v>
      </c>
      <c r="BQ35" s="22">
        <f t="shared" si="9"/>
        <v>83.945578231292515</v>
      </c>
      <c r="BR35" s="22">
        <v>74.2</v>
      </c>
      <c r="BS35" s="22">
        <f t="shared" si="10"/>
        <v>120.25931928687197</v>
      </c>
      <c r="BT35" s="22">
        <f t="shared" si="11"/>
        <v>97.503285151116955</v>
      </c>
      <c r="BU35" s="22">
        <v>72.400000000000006</v>
      </c>
      <c r="BV35" s="22">
        <f t="shared" si="12"/>
        <v>97.574123989218336</v>
      </c>
      <c r="BW35" s="22">
        <f t="shared" si="13"/>
        <v>100.976290097629</v>
      </c>
      <c r="BX35" s="22">
        <v>73.5</v>
      </c>
      <c r="BY35" s="22">
        <f t="shared" si="14"/>
        <v>101.51933701657458</v>
      </c>
    </row>
    <row r="36" spans="1:77" ht="22.5" hidden="1" customHeight="1" x14ac:dyDescent="0.25">
      <c r="A36" s="11" t="s">
        <v>131</v>
      </c>
      <c r="B36" s="38" t="s">
        <v>132</v>
      </c>
      <c r="C36" s="22"/>
      <c r="D36" s="22"/>
      <c r="E36" s="22">
        <v>1</v>
      </c>
      <c r="F36" s="22">
        <v>1</v>
      </c>
      <c r="G36" s="22"/>
      <c r="H36" s="22">
        <v>0</v>
      </c>
      <c r="I36" s="22"/>
      <c r="J36" s="22"/>
      <c r="K36" s="22">
        <v>0</v>
      </c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>
        <v>9.6</v>
      </c>
      <c r="AT36" s="22">
        <v>9.6</v>
      </c>
      <c r="AU36" s="22">
        <v>9.6</v>
      </c>
      <c r="AV36" s="22">
        <v>9.6</v>
      </c>
      <c r="AW36" s="22">
        <v>9.6</v>
      </c>
      <c r="AX36" s="22"/>
      <c r="AY36" s="22"/>
      <c r="AZ36" s="22"/>
      <c r="BA36" s="22"/>
      <c r="BB36" s="22"/>
      <c r="BC36" s="22"/>
      <c r="BD36" s="22"/>
      <c r="BE36" s="22"/>
      <c r="BF36" s="22"/>
      <c r="BG36" s="22">
        <f t="shared" si="3"/>
        <v>0</v>
      </c>
      <c r="BH36" s="22"/>
      <c r="BI36" s="22"/>
      <c r="BJ36" s="22"/>
      <c r="BK36" s="21"/>
      <c r="BL36" s="29"/>
      <c r="BM36" s="29"/>
      <c r="BN36" s="25"/>
      <c r="BO36" s="29"/>
      <c r="BP36" s="22"/>
      <c r="BQ36" s="22" t="e">
        <f t="shared" si="9"/>
        <v>#DIV/0!</v>
      </c>
      <c r="BR36" s="22"/>
      <c r="BS36" s="22" t="e">
        <f t="shared" si="10"/>
        <v>#DIV/0!</v>
      </c>
      <c r="BT36" s="22" t="e">
        <f t="shared" si="11"/>
        <v>#DIV/0!</v>
      </c>
      <c r="BU36" s="22"/>
      <c r="BV36" s="22" t="e">
        <f t="shared" si="12"/>
        <v>#DIV/0!</v>
      </c>
      <c r="BW36" s="22" t="e">
        <f t="shared" si="13"/>
        <v>#DIV/0!</v>
      </c>
      <c r="BX36" s="22"/>
      <c r="BY36" s="22" t="e">
        <f t="shared" si="14"/>
        <v>#DIV/0!</v>
      </c>
    </row>
    <row r="37" spans="1:77" s="26" customFormat="1" ht="18.75" customHeight="1" x14ac:dyDescent="0.25">
      <c r="A37" s="19"/>
      <c r="B37" s="20" t="s">
        <v>133</v>
      </c>
      <c r="C37" s="21">
        <f t="shared" ref="C37:AU37" si="38">C39+C46+C50+C55+C64</f>
        <v>4280.3270300000004</v>
      </c>
      <c r="D37" s="21">
        <f t="shared" si="38"/>
        <v>1858</v>
      </c>
      <c r="E37" s="21">
        <f t="shared" si="38"/>
        <v>1401</v>
      </c>
      <c r="F37" s="21">
        <f t="shared" si="38"/>
        <v>1301.34817</v>
      </c>
      <c r="G37" s="21">
        <f t="shared" si="38"/>
        <v>1110</v>
      </c>
      <c r="H37" s="21">
        <f t="shared" si="38"/>
        <v>1034.7</v>
      </c>
      <c r="I37" s="21">
        <f t="shared" si="38"/>
        <v>958.79902000000004</v>
      </c>
      <c r="J37" s="21">
        <f t="shared" si="38"/>
        <v>941.5</v>
      </c>
      <c r="K37" s="21">
        <f t="shared" si="38"/>
        <v>1228.5</v>
      </c>
      <c r="L37" s="21">
        <f t="shared" si="38"/>
        <v>1186.2139299999999</v>
      </c>
      <c r="M37" s="21">
        <f t="shared" si="38"/>
        <v>1186.2139299999999</v>
      </c>
      <c r="N37" s="21">
        <f t="shared" si="38"/>
        <v>1368.6</v>
      </c>
      <c r="O37" s="21">
        <f t="shared" si="38"/>
        <v>469.6</v>
      </c>
      <c r="P37" s="21">
        <f t="shared" si="38"/>
        <v>217.67254000000003</v>
      </c>
      <c r="Q37" s="21">
        <f t="shared" si="38"/>
        <v>-43683.19627</v>
      </c>
      <c r="R37" s="21">
        <f t="shared" si="38"/>
        <v>145</v>
      </c>
      <c r="S37" s="21">
        <f t="shared" si="38"/>
        <v>676.5</v>
      </c>
      <c r="T37" s="21">
        <f t="shared" si="38"/>
        <v>676.51172000000008</v>
      </c>
      <c r="U37" s="21">
        <f t="shared" si="38"/>
        <v>-7869.8074799999995</v>
      </c>
      <c r="V37" s="21">
        <f t="shared" si="38"/>
        <v>156</v>
      </c>
      <c r="W37" s="21">
        <f t="shared" si="38"/>
        <v>357.8</v>
      </c>
      <c r="X37" s="21">
        <f t="shared" si="38"/>
        <v>387.339</v>
      </c>
      <c r="Y37" s="21">
        <f t="shared" si="38"/>
        <v>357.05500999999998</v>
      </c>
      <c r="Z37" s="21">
        <f t="shared" si="38"/>
        <v>160</v>
      </c>
      <c r="AA37" s="21">
        <f t="shared" si="38"/>
        <v>1084.3999999999999</v>
      </c>
      <c r="AB37" s="21">
        <f t="shared" si="38"/>
        <v>1141.6009299999998</v>
      </c>
      <c r="AC37" s="21">
        <f t="shared" si="38"/>
        <v>3231.3117899999997</v>
      </c>
      <c r="AD37" s="21">
        <f t="shared" si="38"/>
        <v>166.8</v>
      </c>
      <c r="AE37" s="21">
        <f t="shared" si="38"/>
        <v>1182.9000000000001</v>
      </c>
      <c r="AF37" s="21">
        <f t="shared" si="38"/>
        <v>1231.31305</v>
      </c>
      <c r="AG37" s="21">
        <f t="shared" si="38"/>
        <v>-30961.468920000003</v>
      </c>
      <c r="AH37" s="21">
        <f t="shared" si="38"/>
        <v>854</v>
      </c>
      <c r="AI37" s="21">
        <f t="shared" si="38"/>
        <v>159.5</v>
      </c>
      <c r="AJ37" s="21">
        <f t="shared" si="38"/>
        <v>159.5</v>
      </c>
      <c r="AK37" s="21">
        <f t="shared" si="38"/>
        <v>2462.5</v>
      </c>
      <c r="AL37" s="21">
        <f t="shared" si="38"/>
        <v>1834.3150699999999</v>
      </c>
      <c r="AM37" s="21">
        <f t="shared" si="38"/>
        <v>80998.769549999997</v>
      </c>
      <c r="AN37" s="21">
        <f t="shared" si="38"/>
        <v>256.3</v>
      </c>
      <c r="AO37" s="21">
        <f t="shared" si="38"/>
        <v>259.3</v>
      </c>
      <c r="AP37" s="21">
        <f t="shared" si="38"/>
        <v>262.3</v>
      </c>
      <c r="AQ37" s="21">
        <f t="shared" si="38"/>
        <v>804.8</v>
      </c>
      <c r="AR37" s="21">
        <f t="shared" si="38"/>
        <v>843.8</v>
      </c>
      <c r="AS37" s="21">
        <f t="shared" si="38"/>
        <v>1243.8</v>
      </c>
      <c r="AT37" s="21">
        <f t="shared" si="38"/>
        <v>1853.8</v>
      </c>
      <c r="AU37" s="21">
        <f t="shared" si="38"/>
        <v>1792.5</v>
      </c>
      <c r="AV37" s="21">
        <f>AV39+AV46+AV50+AV55+AV64</f>
        <v>1993.0226299999999</v>
      </c>
      <c r="AW37" s="21">
        <f>AW39+AW46+AW50+AW55+AW64</f>
        <v>-6066.6409400000011</v>
      </c>
      <c r="AX37" s="21">
        <f t="shared" ref="AX37" si="39">AX39+AX46+AX50+AX55+AX64</f>
        <v>805.90000000000009</v>
      </c>
      <c r="AY37" s="21">
        <f>AY39+AY46+AY50+AY55+AY64</f>
        <v>805.90000000000009</v>
      </c>
      <c r="AZ37" s="21">
        <f>AZ39+AZ46+AZ50+AZ55+AZ64</f>
        <v>805.90000000000009</v>
      </c>
      <c r="BA37" s="21">
        <f t="shared" ref="BA37:BR37" si="40">BA39+BA46+BA50+BA55+BA64</f>
        <v>1305.9000000000001</v>
      </c>
      <c r="BB37" s="21">
        <f t="shared" si="40"/>
        <v>2324</v>
      </c>
      <c r="BC37" s="21">
        <f t="shared" si="40"/>
        <v>2624.1000000000004</v>
      </c>
      <c r="BD37" s="21">
        <f t="shared" si="40"/>
        <v>2558.8000000000002</v>
      </c>
      <c r="BE37" s="21">
        <f t="shared" si="40"/>
        <v>2081.4373000000001</v>
      </c>
      <c r="BF37" s="21">
        <f>BF39+BF46+BF50+BF55+BF64+BF51+BF45</f>
        <v>-23981.633570000002</v>
      </c>
      <c r="BG37" s="22">
        <f t="shared" si="3"/>
        <v>104.43621003942138</v>
      </c>
      <c r="BH37" s="21">
        <f t="shared" si="40"/>
        <v>1690.1</v>
      </c>
      <c r="BI37" s="21">
        <f t="shared" si="40"/>
        <v>1787.3</v>
      </c>
      <c r="BJ37" s="21">
        <f t="shared" si="40"/>
        <v>1799.5</v>
      </c>
      <c r="BK37" s="23">
        <f t="shared" si="40"/>
        <v>2212.8999999999996</v>
      </c>
      <c r="BL37" s="24">
        <f t="shared" si="40"/>
        <v>2718.5999999999995</v>
      </c>
      <c r="BM37" s="24">
        <f t="shared" si="40"/>
        <v>2718.5999999999995</v>
      </c>
      <c r="BN37" s="25">
        <f t="shared" si="40"/>
        <v>2868.5999999999995</v>
      </c>
      <c r="BO37" s="24">
        <f t="shared" si="40"/>
        <v>2743.7999999999997</v>
      </c>
      <c r="BP37" s="21">
        <f t="shared" si="40"/>
        <v>2735.5999999999995</v>
      </c>
      <c r="BQ37" s="22">
        <f t="shared" si="9"/>
        <v>131.42841247247753</v>
      </c>
      <c r="BR37" s="21">
        <f t="shared" si="40"/>
        <v>2100.1</v>
      </c>
      <c r="BS37" s="22">
        <f t="shared" si="10"/>
        <v>76.769264512355619</v>
      </c>
      <c r="BT37" s="22">
        <f t="shared" si="11"/>
        <v>117.50125888211269</v>
      </c>
      <c r="BU37" s="21">
        <f>BU39+BU46+BU50+BU55+BU64</f>
        <v>2124.5</v>
      </c>
      <c r="BV37" s="22">
        <f t="shared" si="12"/>
        <v>101.16184943574116</v>
      </c>
      <c r="BW37" s="22">
        <f t="shared" si="13"/>
        <v>118.06057238121701</v>
      </c>
      <c r="BX37" s="21">
        <f>BX39+BX46+BX50+BX55+BX64</f>
        <v>2134.5</v>
      </c>
      <c r="BY37" s="22">
        <f t="shared" si="14"/>
        <v>100.47069898799718</v>
      </c>
    </row>
    <row r="38" spans="1:77" s="26" customFormat="1" ht="18.75" customHeight="1" x14ac:dyDescent="0.25">
      <c r="A38" s="19"/>
      <c r="B38" s="20" t="s">
        <v>82</v>
      </c>
      <c r="C38" s="21">
        <f t="shared" ref="C38:BF38" si="41">C37/C123*100</f>
        <v>9.0002205228294496</v>
      </c>
      <c r="D38" s="21">
        <f t="shared" si="41"/>
        <v>4.7543987144187758</v>
      </c>
      <c r="E38" s="21">
        <f t="shared" si="41"/>
        <v>2.1411443583673506</v>
      </c>
      <c r="F38" s="21">
        <f t="shared" si="41"/>
        <v>2.1224650918180243</v>
      </c>
      <c r="G38" s="21">
        <f t="shared" si="41"/>
        <v>2.5749937944969368</v>
      </c>
      <c r="H38" s="21">
        <f t="shared" si="41"/>
        <v>1.9472600599967631</v>
      </c>
      <c r="I38" s="21">
        <f t="shared" si="41"/>
        <v>1.8324915691822665</v>
      </c>
      <c r="J38" s="21">
        <f t="shared" si="41"/>
        <v>2.168135886736489</v>
      </c>
      <c r="K38" s="21">
        <f t="shared" si="41"/>
        <v>2.4155966730243623</v>
      </c>
      <c r="L38" s="21">
        <f t="shared" si="41"/>
        <v>2.3602955777170744</v>
      </c>
      <c r="M38" s="21">
        <f t="shared" si="41"/>
        <v>0.75862255204926288</v>
      </c>
      <c r="N38" s="21">
        <f t="shared" si="41"/>
        <v>3.0900671253073471</v>
      </c>
      <c r="O38" s="21">
        <f t="shared" si="41"/>
        <v>0.82660193730428499</v>
      </c>
      <c r="P38" s="21">
        <f t="shared" si="41"/>
        <v>0.39340534246339531</v>
      </c>
      <c r="Q38" s="21">
        <f t="shared" si="41"/>
        <v>-26.718511096759535</v>
      </c>
      <c r="R38" s="21">
        <f t="shared" si="41"/>
        <v>0.26399924259527641</v>
      </c>
      <c r="S38" s="21">
        <f t="shared" si="41"/>
        <v>1.1428523161131197</v>
      </c>
      <c r="T38" s="21">
        <f t="shared" si="41"/>
        <v>1.1416925000328171</v>
      </c>
      <c r="U38" s="21">
        <f t="shared" si="41"/>
        <v>-6.283213827394035</v>
      </c>
      <c r="V38" s="21">
        <f t="shared" si="41"/>
        <v>0.32230537923911523</v>
      </c>
      <c r="W38" s="21">
        <f t="shared" si="41"/>
        <v>0.47216808022370577</v>
      </c>
      <c r="X38" s="21">
        <f t="shared" si="41"/>
        <v>0.51064208989397952</v>
      </c>
      <c r="Y38" s="21">
        <f t="shared" si="41"/>
        <v>0.1658553306894284</v>
      </c>
      <c r="Z38" s="21">
        <f t="shared" si="41"/>
        <v>0.33771160949559953</v>
      </c>
      <c r="AA38" s="21">
        <f t="shared" si="41"/>
        <v>1.8683524797537716</v>
      </c>
      <c r="AB38" s="21">
        <f t="shared" si="41"/>
        <v>1.9213493073697658</v>
      </c>
      <c r="AC38" s="21">
        <f t="shared" si="41"/>
        <v>1.3770901158369895</v>
      </c>
      <c r="AD38" s="21">
        <f t="shared" si="41"/>
        <v>0.33595773789907468</v>
      </c>
      <c r="AE38" s="21">
        <f t="shared" si="41"/>
        <v>1.9357784352744032</v>
      </c>
      <c r="AF38" s="21">
        <f t="shared" si="41"/>
        <v>1.9983048929114395</v>
      </c>
      <c r="AG38" s="21">
        <f t="shared" si="41"/>
        <v>-34.691086495299793</v>
      </c>
      <c r="AH38" s="21">
        <f t="shared" si="41"/>
        <v>1.5753143588547451</v>
      </c>
      <c r="AI38" s="21">
        <f t="shared" si="41"/>
        <v>0.29922818633101855</v>
      </c>
      <c r="AJ38" s="21">
        <f t="shared" si="41"/>
        <v>0.29915466575699495</v>
      </c>
      <c r="AK38" s="21">
        <f t="shared" si="41"/>
        <v>2.440392484483068</v>
      </c>
      <c r="AL38" s="21">
        <f t="shared" si="41"/>
        <v>1.8164865022046739</v>
      </c>
      <c r="AM38" s="21">
        <f t="shared" si="41"/>
        <v>30.236018169102607</v>
      </c>
      <c r="AN38" s="21">
        <f t="shared" si="41"/>
        <v>0.49319758709705874</v>
      </c>
      <c r="AO38" s="21">
        <f t="shared" si="41"/>
        <v>0.49891287778625659</v>
      </c>
      <c r="AP38" s="21">
        <f t="shared" si="41"/>
        <v>0.50462684902941635</v>
      </c>
      <c r="AQ38" s="21">
        <f t="shared" si="41"/>
        <v>1.2058121102610895</v>
      </c>
      <c r="AR38" s="21">
        <f t="shared" si="41"/>
        <v>1.1884038375951371</v>
      </c>
      <c r="AS38" s="21">
        <f t="shared" si="41"/>
        <v>1.892398910022046</v>
      </c>
      <c r="AT38" s="21">
        <f t="shared" si="41"/>
        <v>2.6861839321629151</v>
      </c>
      <c r="AU38" s="21">
        <f t="shared" si="41"/>
        <v>2.3507056051050634</v>
      </c>
      <c r="AV38" s="21">
        <f t="shared" si="41"/>
        <v>2.5724502047668341</v>
      </c>
      <c r="AW38" s="21">
        <f t="shared" si="41"/>
        <v>-5.653965611558025</v>
      </c>
      <c r="AX38" s="21">
        <f t="shared" si="41"/>
        <v>1.2157811315753098</v>
      </c>
      <c r="AY38" s="21">
        <f t="shared" si="41"/>
        <v>1.5820448371055169</v>
      </c>
      <c r="AZ38" s="21">
        <f t="shared" si="41"/>
        <v>1.5815387735294295</v>
      </c>
      <c r="BA38" s="21">
        <f t="shared" si="41"/>
        <v>1.8340622393002504</v>
      </c>
      <c r="BB38" s="21">
        <f t="shared" si="41"/>
        <v>2.9878954236601718</v>
      </c>
      <c r="BC38" s="21">
        <f t="shared" si="41"/>
        <v>3.9041496374962619</v>
      </c>
      <c r="BD38" s="21">
        <f t="shared" si="41"/>
        <v>2.7593554746052598</v>
      </c>
      <c r="BE38" s="21">
        <f t="shared" si="41"/>
        <v>2.2201182388228</v>
      </c>
      <c r="BF38" s="21">
        <f t="shared" si="41"/>
        <v>-18.163980323830568</v>
      </c>
      <c r="BG38" s="22"/>
      <c r="BH38" s="21">
        <f t="shared" ref="BH38:BP38" si="42">BH37/BH123*100</f>
        <v>2.5974045130572088</v>
      </c>
      <c r="BI38" s="21">
        <f t="shared" si="42"/>
        <v>3.1061005213052462</v>
      </c>
      <c r="BJ38" s="21">
        <f t="shared" si="42"/>
        <v>3.125993320966364</v>
      </c>
      <c r="BK38" s="23">
        <f t="shared" si="42"/>
        <v>3.2699025338826266</v>
      </c>
      <c r="BL38" s="24">
        <f t="shared" si="42"/>
        <v>3.0951779163734972</v>
      </c>
      <c r="BM38" s="24">
        <f t="shared" si="42"/>
        <v>3.0508600112446169</v>
      </c>
      <c r="BN38" s="25">
        <f t="shared" si="42"/>
        <v>2.9859446383422097</v>
      </c>
      <c r="BO38" s="24">
        <f t="shared" si="42"/>
        <v>2.732321517305798</v>
      </c>
      <c r="BP38" s="21">
        <f t="shared" si="42"/>
        <v>2.6741820080696064</v>
      </c>
      <c r="BQ38" s="22"/>
      <c r="BR38" s="21">
        <f>BR37/BR123*100</f>
        <v>2.9069179161033514</v>
      </c>
      <c r="BS38" s="22"/>
      <c r="BT38" s="22"/>
      <c r="BU38" s="21">
        <f>BU37/BU123*100</f>
        <v>3.4197677411224765</v>
      </c>
      <c r="BV38" s="22"/>
      <c r="BW38" s="22"/>
      <c r="BX38" s="21">
        <f>BX37/BX123*100</f>
        <v>3.431693983599494</v>
      </c>
      <c r="BY38" s="22"/>
    </row>
    <row r="39" spans="1:77" ht="42.75" customHeight="1" x14ac:dyDescent="0.25">
      <c r="A39" s="19" t="s">
        <v>134</v>
      </c>
      <c r="B39" s="20" t="s">
        <v>135</v>
      </c>
      <c r="C39" s="21">
        <f t="shared" ref="C39:U39" si="43">C40+C44</f>
        <v>2051.9010800000001</v>
      </c>
      <c r="D39" s="21">
        <f t="shared" si="43"/>
        <v>1858</v>
      </c>
      <c r="E39" s="21">
        <f t="shared" si="43"/>
        <v>261.2</v>
      </c>
      <c r="F39" s="21">
        <f t="shared" si="43"/>
        <v>157.93666999999999</v>
      </c>
      <c r="G39" s="21">
        <f t="shared" si="43"/>
        <v>1102</v>
      </c>
      <c r="H39" s="21">
        <f t="shared" si="43"/>
        <v>953.2</v>
      </c>
      <c r="I39" s="21">
        <f t="shared" si="43"/>
        <v>876.95874000000003</v>
      </c>
      <c r="J39" s="21">
        <f t="shared" si="43"/>
        <v>870.5</v>
      </c>
      <c r="K39" s="21">
        <f t="shared" si="43"/>
        <v>981.5</v>
      </c>
      <c r="L39" s="21">
        <f t="shared" si="43"/>
        <v>939.90006000000005</v>
      </c>
      <c r="M39" s="21">
        <f t="shared" si="43"/>
        <v>939.90006000000005</v>
      </c>
      <c r="N39" s="21">
        <f t="shared" si="43"/>
        <v>1297.5999999999999</v>
      </c>
      <c r="O39" s="21">
        <f t="shared" si="43"/>
        <v>469.6</v>
      </c>
      <c r="P39" s="21">
        <f t="shared" si="43"/>
        <v>155.59934000000001</v>
      </c>
      <c r="Q39" s="21">
        <f t="shared" si="43"/>
        <v>155.59934000000001</v>
      </c>
      <c r="R39" s="21">
        <f t="shared" si="43"/>
        <v>145</v>
      </c>
      <c r="S39" s="21">
        <f t="shared" si="43"/>
        <v>496.2</v>
      </c>
      <c r="T39" s="21">
        <f t="shared" si="43"/>
        <v>496.20251999999999</v>
      </c>
      <c r="U39" s="21">
        <f t="shared" si="43"/>
        <v>541.96591000000001</v>
      </c>
      <c r="V39" s="21">
        <f t="shared" ref="V39:AP39" si="44">V40+V44+V42</f>
        <v>156</v>
      </c>
      <c r="W39" s="21">
        <f t="shared" si="44"/>
        <v>248.8</v>
      </c>
      <c r="X39" s="21">
        <f t="shared" si="44"/>
        <v>255.02851000000001</v>
      </c>
      <c r="Y39" s="21">
        <f t="shared" si="44"/>
        <v>227.76512000000002</v>
      </c>
      <c r="Z39" s="21">
        <f>Z40+Z44+Z42</f>
        <v>160</v>
      </c>
      <c r="AA39" s="21">
        <f>AA40+AA44+AA42</f>
        <v>1014.3</v>
      </c>
      <c r="AB39" s="21">
        <f>AB40+AB44+AB42</f>
        <v>1014.62637</v>
      </c>
      <c r="AC39" s="21">
        <f>AC40+AC44+AC42</f>
        <v>1296.4234099999999</v>
      </c>
      <c r="AD39" s="21">
        <f t="shared" si="44"/>
        <v>166.8</v>
      </c>
      <c r="AE39" s="21">
        <f t="shared" si="44"/>
        <v>976.9</v>
      </c>
      <c r="AF39" s="21">
        <f t="shared" si="44"/>
        <v>984.30611999999996</v>
      </c>
      <c r="AG39" s="21">
        <f t="shared" si="44"/>
        <v>1023.17938</v>
      </c>
      <c r="AH39" s="21">
        <f t="shared" si="44"/>
        <v>854</v>
      </c>
      <c r="AI39" s="21">
        <f t="shared" si="44"/>
        <v>159.5</v>
      </c>
      <c r="AJ39" s="21">
        <f t="shared" si="44"/>
        <v>159.5</v>
      </c>
      <c r="AK39" s="21">
        <f t="shared" si="44"/>
        <v>1421.6999999999998</v>
      </c>
      <c r="AL39" s="21">
        <f t="shared" si="44"/>
        <v>766.49669999999992</v>
      </c>
      <c r="AM39" s="21">
        <f t="shared" si="44"/>
        <v>583.67509999999993</v>
      </c>
      <c r="AN39" s="21">
        <f t="shared" si="44"/>
        <v>256.3</v>
      </c>
      <c r="AO39" s="21">
        <f t="shared" si="44"/>
        <v>256.3</v>
      </c>
      <c r="AP39" s="21">
        <f t="shared" si="44"/>
        <v>256.3</v>
      </c>
      <c r="AQ39" s="21">
        <v>256.3</v>
      </c>
      <c r="AR39" s="21">
        <v>256.3</v>
      </c>
      <c r="AS39" s="21">
        <v>256.3</v>
      </c>
      <c r="AT39" s="21">
        <f>AT40+AT44+AT42</f>
        <v>256.3</v>
      </c>
      <c r="AU39" s="21">
        <f>AU40+AU44+AU42</f>
        <v>187</v>
      </c>
      <c r="AV39" s="21">
        <f>AV40+AV44+AV42</f>
        <v>214.06222</v>
      </c>
      <c r="AW39" s="21">
        <f>AW40+AW44+AW42</f>
        <v>1363.9473500000001</v>
      </c>
      <c r="AX39" s="21">
        <f t="shared" ref="AX39" si="45">AX40+AX44+AX42</f>
        <v>805.90000000000009</v>
      </c>
      <c r="AY39" s="21">
        <f>AY40+AY44+AY42</f>
        <v>805.90000000000009</v>
      </c>
      <c r="AZ39" s="21">
        <f>AZ40+AZ44+AZ42</f>
        <v>805.90000000000009</v>
      </c>
      <c r="BA39" s="21">
        <v>805.9</v>
      </c>
      <c r="BB39" s="21">
        <v>1324</v>
      </c>
      <c r="BC39" s="21">
        <f t="shared" ref="BC39:BH39" si="46">BC40+BC44+BC42</f>
        <v>1324.1000000000001</v>
      </c>
      <c r="BD39" s="21">
        <f t="shared" si="46"/>
        <v>1245.9000000000001</v>
      </c>
      <c r="BE39" s="21">
        <f t="shared" si="46"/>
        <v>678.18705</v>
      </c>
      <c r="BF39" s="21">
        <f>BF40+BF44+BF42</f>
        <v>809.42523000000006</v>
      </c>
      <c r="BG39" s="22">
        <f t="shared" si="3"/>
        <v>316.81772243602819</v>
      </c>
      <c r="BH39" s="21">
        <f t="shared" si="46"/>
        <v>437.59999999999997</v>
      </c>
      <c r="BI39" s="21">
        <f>BI40+BI44+BI42</f>
        <v>437.59999999999997</v>
      </c>
      <c r="BJ39" s="21">
        <f>BJ40+BJ44+BJ42</f>
        <v>437.59999999999997</v>
      </c>
      <c r="BK39" s="23">
        <f>BK40+BK44+BK42</f>
        <v>946.2</v>
      </c>
      <c r="BL39" s="24">
        <f>BL40+BL44+BL42</f>
        <v>946.2</v>
      </c>
      <c r="BM39" s="24">
        <v>946.2</v>
      </c>
      <c r="BN39" s="25">
        <v>946.2</v>
      </c>
      <c r="BO39" s="24">
        <f>BO42+BO44</f>
        <v>821.4</v>
      </c>
      <c r="BP39" s="21">
        <f t="shared" ref="BP39:BR39" si="47">BP40+BP44+BP42</f>
        <v>821.4</v>
      </c>
      <c r="BQ39" s="22">
        <f t="shared" si="9"/>
        <v>121.11702811193462</v>
      </c>
      <c r="BR39" s="21">
        <f t="shared" si="47"/>
        <v>713.5</v>
      </c>
      <c r="BS39" s="22">
        <f t="shared" si="10"/>
        <v>86.863890917944971</v>
      </c>
      <c r="BT39" s="22">
        <f t="shared" si="11"/>
        <v>163.04844606946983</v>
      </c>
      <c r="BU39" s="21">
        <f>BU40+BU44+BU42</f>
        <v>713.5</v>
      </c>
      <c r="BV39" s="22">
        <f t="shared" si="12"/>
        <v>100</v>
      </c>
      <c r="BW39" s="22">
        <f t="shared" si="13"/>
        <v>163.04844606946983</v>
      </c>
      <c r="BX39" s="21">
        <f>BX40+BX44+BX42</f>
        <v>713.5</v>
      </c>
      <c r="BY39" s="22">
        <f t="shared" si="14"/>
        <v>100</v>
      </c>
    </row>
    <row r="40" spans="1:77" ht="76.5" hidden="1" x14ac:dyDescent="0.25">
      <c r="A40" s="11" t="s">
        <v>136</v>
      </c>
      <c r="B40" s="38" t="s">
        <v>137</v>
      </c>
      <c r="C40" s="22">
        <v>1962.58662</v>
      </c>
      <c r="D40" s="22">
        <v>1858</v>
      </c>
      <c r="E40" s="22">
        <v>0</v>
      </c>
      <c r="F40" s="22">
        <v>-99.637879999999996</v>
      </c>
      <c r="G40" s="22">
        <v>950</v>
      </c>
      <c r="H40" s="22">
        <v>939.2</v>
      </c>
      <c r="I40" s="22">
        <v>858.70236</v>
      </c>
      <c r="J40" s="22">
        <v>862.5</v>
      </c>
      <c r="K40" s="22">
        <v>722.5</v>
      </c>
      <c r="L40" s="22">
        <v>681.34639000000004</v>
      </c>
      <c r="M40" s="22">
        <v>681.34639000000004</v>
      </c>
      <c r="N40" s="22">
        <v>997.6</v>
      </c>
      <c r="O40" s="22">
        <v>0</v>
      </c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>
        <v>6.948E-2</v>
      </c>
      <c r="AX40" s="22"/>
      <c r="AY40" s="22"/>
      <c r="AZ40" s="22"/>
      <c r="BA40" s="22"/>
      <c r="BB40" s="22"/>
      <c r="BC40" s="22"/>
      <c r="BD40" s="22"/>
      <c r="BE40" s="22"/>
      <c r="BF40" s="22"/>
      <c r="BG40" s="22" t="e">
        <f t="shared" si="3"/>
        <v>#DIV/0!</v>
      </c>
      <c r="BH40" s="22"/>
      <c r="BI40" s="22"/>
      <c r="BJ40" s="22"/>
      <c r="BK40" s="21"/>
      <c r="BL40" s="29"/>
      <c r="BM40" s="29"/>
      <c r="BN40" s="25"/>
      <c r="BO40" s="29"/>
      <c r="BP40" s="22"/>
      <c r="BQ40" s="22" t="e">
        <f t="shared" si="9"/>
        <v>#DIV/0!</v>
      </c>
      <c r="BR40" s="22"/>
      <c r="BS40" s="22" t="e">
        <f t="shared" si="10"/>
        <v>#DIV/0!</v>
      </c>
      <c r="BT40" s="22" t="e">
        <f t="shared" si="11"/>
        <v>#DIV/0!</v>
      </c>
      <c r="BU40" s="22"/>
      <c r="BV40" s="22" t="e">
        <f t="shared" si="12"/>
        <v>#DIV/0!</v>
      </c>
      <c r="BW40" s="22" t="e">
        <f t="shared" si="13"/>
        <v>#DIV/0!</v>
      </c>
      <c r="BX40" s="22"/>
      <c r="BY40" s="22" t="e">
        <f t="shared" si="14"/>
        <v>#DIV/0!</v>
      </c>
    </row>
    <row r="41" spans="1:77" ht="51" hidden="1" x14ac:dyDescent="0.25">
      <c r="A41" s="11" t="s">
        <v>138</v>
      </c>
      <c r="B41" s="38" t="s">
        <v>139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 t="e">
        <f t="shared" si="3"/>
        <v>#DIV/0!</v>
      </c>
      <c r="BH41" s="22"/>
      <c r="BI41" s="22"/>
      <c r="BJ41" s="22"/>
      <c r="BK41" s="21"/>
      <c r="BL41" s="29"/>
      <c r="BM41" s="29"/>
      <c r="BN41" s="25"/>
      <c r="BO41" s="29"/>
      <c r="BP41" s="22"/>
      <c r="BQ41" s="22" t="e">
        <f t="shared" si="9"/>
        <v>#DIV/0!</v>
      </c>
      <c r="BR41" s="22"/>
      <c r="BS41" s="22" t="e">
        <f t="shared" si="10"/>
        <v>#DIV/0!</v>
      </c>
      <c r="BT41" s="22" t="e">
        <f t="shared" si="11"/>
        <v>#DIV/0!</v>
      </c>
      <c r="BU41" s="22"/>
      <c r="BV41" s="22" t="e">
        <f t="shared" si="12"/>
        <v>#DIV/0!</v>
      </c>
      <c r="BW41" s="22" t="e">
        <f t="shared" si="13"/>
        <v>#DIV/0!</v>
      </c>
      <c r="BX41" s="22"/>
      <c r="BY41" s="22" t="e">
        <f t="shared" si="14"/>
        <v>#DIV/0!</v>
      </c>
    </row>
    <row r="42" spans="1:77" ht="37.5" hidden="1" customHeight="1" x14ac:dyDescent="0.25">
      <c r="A42" s="11" t="s">
        <v>140</v>
      </c>
      <c r="B42" s="38" t="s">
        <v>141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>
        <v>211</v>
      </c>
      <c r="X42" s="22">
        <v>211.79230000000001</v>
      </c>
      <c r="Y42" s="22">
        <v>211.79230000000001</v>
      </c>
      <c r="Z42" s="22">
        <v>82</v>
      </c>
      <c r="AA42" s="22">
        <v>941.4</v>
      </c>
      <c r="AB42" s="22">
        <v>941.72871999999995</v>
      </c>
      <c r="AC42" s="22">
        <v>1242.02576</v>
      </c>
      <c r="AD42" s="22">
        <v>73.5</v>
      </c>
      <c r="AE42" s="22">
        <v>953.6</v>
      </c>
      <c r="AF42" s="22">
        <v>961.69272000000001</v>
      </c>
      <c r="AG42" s="22">
        <f>1023.17938-AG44</f>
        <v>1000.5659800000001</v>
      </c>
      <c r="AH42" s="22">
        <v>777.7</v>
      </c>
      <c r="AI42" s="22">
        <v>83.2</v>
      </c>
      <c r="AJ42" s="22">
        <v>83.2</v>
      </c>
      <c r="AK42" s="22">
        <v>1399.6</v>
      </c>
      <c r="AL42" s="22">
        <v>744.41305999999997</v>
      </c>
      <c r="AM42" s="22">
        <v>561.59145999999998</v>
      </c>
      <c r="AN42" s="22">
        <v>180</v>
      </c>
      <c r="AO42" s="22">
        <v>180</v>
      </c>
      <c r="AP42" s="22">
        <v>180</v>
      </c>
      <c r="AQ42" s="22"/>
      <c r="AR42" s="22"/>
      <c r="AS42" s="22"/>
      <c r="AT42" s="22">
        <v>180</v>
      </c>
      <c r="AU42" s="22">
        <v>187</v>
      </c>
      <c r="AV42" s="22">
        <v>214.06222</v>
      </c>
      <c r="AW42" s="22">
        <v>1363.87787</v>
      </c>
      <c r="AX42" s="22">
        <v>727.7</v>
      </c>
      <c r="AY42" s="22">
        <v>727.7</v>
      </c>
      <c r="AZ42" s="22">
        <v>727.7</v>
      </c>
      <c r="BA42" s="22"/>
      <c r="BB42" s="22">
        <v>727.7</v>
      </c>
      <c r="BC42" s="22">
        <v>1245.9000000000001</v>
      </c>
      <c r="BD42" s="22">
        <v>1245.9000000000001</v>
      </c>
      <c r="BE42" s="22">
        <v>678.18705</v>
      </c>
      <c r="BF42" s="22">
        <v>731.22523000000001</v>
      </c>
      <c r="BG42" s="22">
        <f t="shared" si="3"/>
        <v>316.81772243602819</v>
      </c>
      <c r="BH42" s="22">
        <v>359.4</v>
      </c>
      <c r="BI42" s="22">
        <v>359.4</v>
      </c>
      <c r="BJ42" s="22">
        <v>359.4</v>
      </c>
      <c r="BK42" s="21">
        <v>868</v>
      </c>
      <c r="BL42" s="29">
        <v>868</v>
      </c>
      <c r="BM42" s="29">
        <v>868</v>
      </c>
      <c r="BN42" s="25">
        <v>868</v>
      </c>
      <c r="BO42" s="29">
        <v>798</v>
      </c>
      <c r="BP42" s="22">
        <v>798</v>
      </c>
      <c r="BQ42" s="22">
        <f t="shared" si="9"/>
        <v>117.66665258500586</v>
      </c>
      <c r="BR42" s="22">
        <v>579.4</v>
      </c>
      <c r="BS42" s="22">
        <f t="shared" si="10"/>
        <v>72.606516290726816</v>
      </c>
      <c r="BT42" s="22">
        <f t="shared" si="11"/>
        <v>161.21313299944353</v>
      </c>
      <c r="BU42" s="22">
        <v>579.4</v>
      </c>
      <c r="BV42" s="22">
        <f t="shared" si="12"/>
        <v>100</v>
      </c>
      <c r="BW42" s="22">
        <f t="shared" si="13"/>
        <v>161.21313299944353</v>
      </c>
      <c r="BX42" s="22">
        <v>579.4</v>
      </c>
      <c r="BY42" s="22">
        <f t="shared" si="14"/>
        <v>100</v>
      </c>
    </row>
    <row r="43" spans="1:77" ht="22.5" hidden="1" customHeight="1" x14ac:dyDescent="0.25">
      <c r="A43" s="11" t="s">
        <v>142</v>
      </c>
      <c r="B43" s="38" t="s">
        <v>143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 t="e">
        <f t="shared" si="3"/>
        <v>#DIV/0!</v>
      </c>
      <c r="BH43" s="22"/>
      <c r="BI43" s="22"/>
      <c r="BJ43" s="22"/>
      <c r="BK43" s="21"/>
      <c r="BL43" s="29"/>
      <c r="BM43" s="29"/>
      <c r="BN43" s="25"/>
      <c r="BO43" s="29"/>
      <c r="BP43" s="22"/>
      <c r="BQ43" s="22" t="e">
        <f t="shared" si="9"/>
        <v>#DIV/0!</v>
      </c>
      <c r="BR43" s="22"/>
      <c r="BS43" s="22" t="e">
        <f t="shared" si="10"/>
        <v>#DIV/0!</v>
      </c>
      <c r="BT43" s="22" t="e">
        <f t="shared" si="11"/>
        <v>#DIV/0!</v>
      </c>
      <c r="BU43" s="22"/>
      <c r="BV43" s="22" t="e">
        <f t="shared" si="12"/>
        <v>#DIV/0!</v>
      </c>
      <c r="BW43" s="22" t="e">
        <f t="shared" si="13"/>
        <v>#DIV/0!</v>
      </c>
      <c r="BX43" s="22"/>
      <c r="BY43" s="22" t="e">
        <f t="shared" si="14"/>
        <v>#DIV/0!</v>
      </c>
    </row>
    <row r="44" spans="1:77" ht="76.5" hidden="1" x14ac:dyDescent="0.25">
      <c r="A44" s="11" t="s">
        <v>144</v>
      </c>
      <c r="B44" s="38" t="s">
        <v>145</v>
      </c>
      <c r="C44" s="22">
        <v>89.314459999999997</v>
      </c>
      <c r="D44" s="22">
        <v>0</v>
      </c>
      <c r="E44" s="22">
        <v>261.2</v>
      </c>
      <c r="F44" s="22">
        <v>257.57454999999999</v>
      </c>
      <c r="G44" s="22">
        <v>152</v>
      </c>
      <c r="H44" s="22">
        <v>14</v>
      </c>
      <c r="I44" s="22">
        <v>18.25638</v>
      </c>
      <c r="J44" s="22">
        <v>8</v>
      </c>
      <c r="K44" s="22">
        <v>259</v>
      </c>
      <c r="L44" s="22">
        <v>258.55367000000001</v>
      </c>
      <c r="M44" s="22">
        <v>258.55367000000001</v>
      </c>
      <c r="N44" s="22">
        <v>300</v>
      </c>
      <c r="O44" s="22">
        <v>469.6</v>
      </c>
      <c r="P44" s="22">
        <v>155.59934000000001</v>
      </c>
      <c r="Q44" s="22">
        <v>155.59934000000001</v>
      </c>
      <c r="R44" s="22">
        <v>145</v>
      </c>
      <c r="S44" s="22">
        <v>496.2</v>
      </c>
      <c r="T44" s="22">
        <v>496.20251999999999</v>
      </c>
      <c r="U44" s="22">
        <f>541.96591</f>
        <v>541.96591000000001</v>
      </c>
      <c r="V44" s="22">
        <v>156</v>
      </c>
      <c r="W44" s="22">
        <v>37.799999999999997</v>
      </c>
      <c r="X44" s="22">
        <v>43.23621</v>
      </c>
      <c r="Y44" s="22">
        <v>15.97282</v>
      </c>
      <c r="Z44" s="22">
        <v>78</v>
      </c>
      <c r="AA44" s="22">
        <v>72.900000000000006</v>
      </c>
      <c r="AB44" s="22">
        <v>72.897649999999999</v>
      </c>
      <c r="AC44" s="22">
        <f>54.39765</f>
        <v>54.397649999999999</v>
      </c>
      <c r="AD44" s="22">
        <v>93.3</v>
      </c>
      <c r="AE44" s="22">
        <v>23.3</v>
      </c>
      <c r="AF44" s="22">
        <v>22.613399999999999</v>
      </c>
      <c r="AG44" s="22">
        <v>22.613399999999999</v>
      </c>
      <c r="AH44" s="22">
        <v>76.3</v>
      </c>
      <c r="AI44" s="22">
        <v>76.3</v>
      </c>
      <c r="AJ44" s="22">
        <v>76.3</v>
      </c>
      <c r="AK44" s="22">
        <v>22.1</v>
      </c>
      <c r="AL44" s="22">
        <v>22.083639999999999</v>
      </c>
      <c r="AM44" s="22">
        <v>22.083639999999999</v>
      </c>
      <c r="AN44" s="22">
        <v>76.3</v>
      </c>
      <c r="AO44" s="22">
        <v>76.3</v>
      </c>
      <c r="AP44" s="22">
        <v>76.3</v>
      </c>
      <c r="AQ44" s="22"/>
      <c r="AR44" s="22"/>
      <c r="AS44" s="22"/>
      <c r="AT44" s="22">
        <v>76.3</v>
      </c>
      <c r="AU44" s="22">
        <v>0</v>
      </c>
      <c r="AV44" s="22">
        <v>0</v>
      </c>
      <c r="AW44" s="22">
        <v>0</v>
      </c>
      <c r="AX44" s="22">
        <v>78.2</v>
      </c>
      <c r="AY44" s="22">
        <v>78.2</v>
      </c>
      <c r="AZ44" s="22">
        <v>78.2</v>
      </c>
      <c r="BA44" s="22"/>
      <c r="BB44" s="22">
        <v>78.2</v>
      </c>
      <c r="BC44" s="22">
        <v>78.2</v>
      </c>
      <c r="BD44" s="22">
        <v>0</v>
      </c>
      <c r="BE44" s="22">
        <v>0</v>
      </c>
      <c r="BF44" s="22">
        <v>78.2</v>
      </c>
      <c r="BG44" s="22" t="e">
        <f t="shared" si="3"/>
        <v>#DIV/0!</v>
      </c>
      <c r="BH44" s="22">
        <v>78.2</v>
      </c>
      <c r="BI44" s="22">
        <v>78.2</v>
      </c>
      <c r="BJ44" s="22">
        <v>78.2</v>
      </c>
      <c r="BK44" s="21">
        <v>78.2</v>
      </c>
      <c r="BL44" s="29">
        <v>78.2</v>
      </c>
      <c r="BM44" s="29">
        <v>78.2</v>
      </c>
      <c r="BN44" s="25">
        <v>78.2</v>
      </c>
      <c r="BO44" s="29">
        <v>23.4</v>
      </c>
      <c r="BP44" s="22">
        <v>23.4</v>
      </c>
      <c r="BQ44" s="22" t="e">
        <f t="shared" si="9"/>
        <v>#DIV/0!</v>
      </c>
      <c r="BR44" s="22">
        <v>134.1</v>
      </c>
      <c r="BS44" s="22">
        <f t="shared" si="10"/>
        <v>573.07692307692309</v>
      </c>
      <c r="BT44" s="22">
        <f t="shared" si="11"/>
        <v>171.48337595907927</v>
      </c>
      <c r="BU44" s="22">
        <v>134.1</v>
      </c>
      <c r="BV44" s="22">
        <f t="shared" si="12"/>
        <v>100</v>
      </c>
      <c r="BW44" s="22">
        <f t="shared" si="13"/>
        <v>171.48337595907927</v>
      </c>
      <c r="BX44" s="22">
        <v>134.1</v>
      </c>
      <c r="BY44" s="22">
        <f t="shared" si="14"/>
        <v>100</v>
      </c>
    </row>
    <row r="45" spans="1:77" ht="22.5" hidden="1" customHeight="1" x14ac:dyDescent="0.25">
      <c r="A45" s="11" t="s">
        <v>146</v>
      </c>
      <c r="B45" s="38" t="s">
        <v>147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>
        <v>11674.614799999999</v>
      </c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>
        <v>-377.64654999999999</v>
      </c>
      <c r="BG45" s="22" t="e">
        <f t="shared" si="3"/>
        <v>#DIV/0!</v>
      </c>
      <c r="BH45" s="22"/>
      <c r="BI45" s="22"/>
      <c r="BJ45" s="22"/>
      <c r="BK45" s="21"/>
      <c r="BL45" s="29"/>
      <c r="BM45" s="29"/>
      <c r="BN45" s="25"/>
      <c r="BO45" s="29"/>
      <c r="BP45" s="22"/>
      <c r="BQ45" s="22" t="e">
        <f t="shared" si="9"/>
        <v>#DIV/0!</v>
      </c>
      <c r="BR45" s="22"/>
      <c r="BS45" s="22" t="e">
        <f t="shared" si="10"/>
        <v>#DIV/0!</v>
      </c>
      <c r="BT45" s="22" t="e">
        <f t="shared" si="11"/>
        <v>#DIV/0!</v>
      </c>
      <c r="BU45" s="22"/>
      <c r="BV45" s="22" t="e">
        <f t="shared" si="12"/>
        <v>#DIV/0!</v>
      </c>
      <c r="BW45" s="22" t="e">
        <f t="shared" si="13"/>
        <v>#DIV/0!</v>
      </c>
      <c r="BX45" s="22"/>
      <c r="BY45" s="22" t="e">
        <f t="shared" si="14"/>
        <v>#DIV/0!</v>
      </c>
    </row>
    <row r="46" spans="1:77" ht="27.75" customHeight="1" x14ac:dyDescent="0.25">
      <c r="A46" s="19" t="s">
        <v>148</v>
      </c>
      <c r="B46" s="20" t="s">
        <v>149</v>
      </c>
      <c r="C46" s="21">
        <f>C47</f>
        <v>112.20399999999999</v>
      </c>
      <c r="D46" s="21">
        <f>D47</f>
        <v>0</v>
      </c>
      <c r="E46" s="21">
        <f>E47</f>
        <v>0</v>
      </c>
      <c r="F46" s="21">
        <f>F47+F48</f>
        <v>0</v>
      </c>
      <c r="G46" s="21">
        <f>G47</f>
        <v>0</v>
      </c>
      <c r="H46" s="21">
        <f>H47</f>
        <v>0</v>
      </c>
      <c r="I46" s="21">
        <f>I47+I48</f>
        <v>0</v>
      </c>
      <c r="J46" s="21">
        <f>J47</f>
        <v>0</v>
      </c>
      <c r="K46" s="21">
        <f>K47</f>
        <v>0</v>
      </c>
      <c r="L46" s="21">
        <f>L47+L48</f>
        <v>0</v>
      </c>
      <c r="M46" s="21">
        <f>M47+M48</f>
        <v>0</v>
      </c>
      <c r="N46" s="21">
        <f>N47</f>
        <v>0</v>
      </c>
      <c r="O46" s="21">
        <f>O47</f>
        <v>0</v>
      </c>
      <c r="P46" s="21">
        <f>P47+P48</f>
        <v>0</v>
      </c>
      <c r="Q46" s="21">
        <f>Q47+Q48</f>
        <v>0</v>
      </c>
      <c r="R46" s="21">
        <f>R47</f>
        <v>0</v>
      </c>
      <c r="S46" s="21">
        <f>S47+S48</f>
        <v>35</v>
      </c>
      <c r="T46" s="21">
        <f>T47+T48</f>
        <v>35</v>
      </c>
      <c r="U46" s="21">
        <f>U47+U48</f>
        <v>35</v>
      </c>
      <c r="V46" s="21">
        <f>V47</f>
        <v>0</v>
      </c>
      <c r="W46" s="21">
        <f>W47+W48</f>
        <v>26</v>
      </c>
      <c r="X46" s="21">
        <f>X47+X48</f>
        <v>43.566580000000002</v>
      </c>
      <c r="Y46" s="21">
        <f>Y47+Y48</f>
        <v>43.566580000000002</v>
      </c>
      <c r="Z46" s="21">
        <f>Z47</f>
        <v>0</v>
      </c>
      <c r="AA46" s="21">
        <f>AA47+AA48</f>
        <v>54</v>
      </c>
      <c r="AB46" s="21">
        <f>AB47+AB48</f>
        <v>68.917529999999999</v>
      </c>
      <c r="AC46" s="21">
        <f>AC47+AC48</f>
        <v>104.99227999999999</v>
      </c>
      <c r="AD46" s="21">
        <f>AD47</f>
        <v>0</v>
      </c>
      <c r="AE46" s="21">
        <f>AE47+AE48</f>
        <v>141</v>
      </c>
      <c r="AF46" s="21">
        <f>AF47+AF48</f>
        <v>172.66293999999999</v>
      </c>
      <c r="AG46" s="21">
        <f>AG47+AG48</f>
        <v>136.58819</v>
      </c>
      <c r="AH46" s="21">
        <f>AH47</f>
        <v>0</v>
      </c>
      <c r="AI46" s="21">
        <f>AI47</f>
        <v>0</v>
      </c>
      <c r="AJ46" s="21">
        <f>AJ47</f>
        <v>0</v>
      </c>
      <c r="AK46" s="21">
        <f>AK47+AK48</f>
        <v>938</v>
      </c>
      <c r="AL46" s="21">
        <f>AL47+AL48</f>
        <v>960.81014000000005</v>
      </c>
      <c r="AM46" s="21">
        <f>AM47+AM48</f>
        <v>1055.57809</v>
      </c>
      <c r="AN46" s="21">
        <f>AN47</f>
        <v>0</v>
      </c>
      <c r="AO46" s="21">
        <f>AO47</f>
        <v>0</v>
      </c>
      <c r="AP46" s="21">
        <f>AP47</f>
        <v>0</v>
      </c>
      <c r="AQ46" s="21">
        <v>500</v>
      </c>
      <c r="AR46" s="21">
        <v>500</v>
      </c>
      <c r="AS46" s="21">
        <v>900</v>
      </c>
      <c r="AT46" s="21">
        <f>AT47+AT48</f>
        <v>1150</v>
      </c>
      <c r="AU46" s="21">
        <f>AU47+AU48</f>
        <v>1150</v>
      </c>
      <c r="AV46" s="21">
        <f>AV47+AV48</f>
        <v>1312.9601399999999</v>
      </c>
      <c r="AW46" s="21">
        <f>AW47+AW48</f>
        <v>1339.98534</v>
      </c>
      <c r="AX46" s="21">
        <f>AX47</f>
        <v>0</v>
      </c>
      <c r="AY46" s="21">
        <f>AY47</f>
        <v>0</v>
      </c>
      <c r="AZ46" s="21">
        <f>AZ47</f>
        <v>0</v>
      </c>
      <c r="BA46" s="21">
        <v>500</v>
      </c>
      <c r="BB46" s="21">
        <v>1000</v>
      </c>
      <c r="BC46" s="21">
        <v>1300</v>
      </c>
      <c r="BD46" s="21">
        <v>1300</v>
      </c>
      <c r="BE46" s="21">
        <f>BE47+BE48</f>
        <v>1381.8450800000001</v>
      </c>
      <c r="BF46" s="21">
        <f>BF47+BF48</f>
        <v>1462.45271</v>
      </c>
      <c r="BG46" s="22">
        <f t="shared" si="3"/>
        <v>105.24653703500854</v>
      </c>
      <c r="BH46" s="21">
        <f>BH47+BH48</f>
        <v>1252.5</v>
      </c>
      <c r="BI46" s="21">
        <f t="shared" ref="BI46:BJ46" si="48">BI47+BI48</f>
        <v>1349.7</v>
      </c>
      <c r="BJ46" s="21">
        <f t="shared" si="48"/>
        <v>1361.9</v>
      </c>
      <c r="BK46" s="23">
        <f>BK47+BK48</f>
        <v>1252.5</v>
      </c>
      <c r="BL46" s="24">
        <f>BL47+BL48</f>
        <v>1252.5</v>
      </c>
      <c r="BM46" s="24">
        <v>1252.5</v>
      </c>
      <c r="BN46" s="25">
        <v>1552.5</v>
      </c>
      <c r="BO46" s="24">
        <v>1552.5</v>
      </c>
      <c r="BP46" s="21">
        <f>BP47+BP48</f>
        <v>1552.8</v>
      </c>
      <c r="BQ46" s="22">
        <f t="shared" si="9"/>
        <v>112.37149681062655</v>
      </c>
      <c r="BR46" s="21">
        <f>BR47+BR48</f>
        <v>1386.6</v>
      </c>
      <c r="BS46" s="22">
        <f t="shared" si="10"/>
        <v>89.2967542503864</v>
      </c>
      <c r="BT46" s="22">
        <f t="shared" si="11"/>
        <v>102.73394087575016</v>
      </c>
      <c r="BU46" s="21">
        <f t="shared" ref="BU46" si="49">BU47+BU48</f>
        <v>1411</v>
      </c>
      <c r="BV46" s="22">
        <f t="shared" si="12"/>
        <v>101.75969998557623</v>
      </c>
      <c r="BW46" s="22">
        <f t="shared" si="13"/>
        <v>103.60525736103972</v>
      </c>
      <c r="BX46" s="21">
        <f t="shared" ref="BX46" si="50">BX47+BX48</f>
        <v>1421</v>
      </c>
      <c r="BY46" s="22">
        <f t="shared" si="14"/>
        <v>100.70871722182848</v>
      </c>
    </row>
    <row r="47" spans="1:77" ht="0.75" hidden="1" customHeight="1" x14ac:dyDescent="0.25">
      <c r="A47" s="11" t="s">
        <v>150</v>
      </c>
      <c r="B47" s="39" t="s">
        <v>151</v>
      </c>
      <c r="C47" s="22">
        <v>112.20399999999999</v>
      </c>
      <c r="D47" s="22">
        <v>0</v>
      </c>
      <c r="E47" s="22">
        <v>0</v>
      </c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 t="e">
        <f t="shared" si="3"/>
        <v>#DIV/0!</v>
      </c>
      <c r="BH47" s="22"/>
      <c r="BI47" s="22"/>
      <c r="BJ47" s="22"/>
      <c r="BK47" s="21"/>
      <c r="BL47" s="29"/>
      <c r="BM47" s="29"/>
      <c r="BN47" s="25"/>
      <c r="BO47" s="29"/>
      <c r="BP47" s="22"/>
      <c r="BQ47" s="22" t="e">
        <f t="shared" si="9"/>
        <v>#DIV/0!</v>
      </c>
      <c r="BR47" s="22"/>
      <c r="BS47" s="22" t="e">
        <f t="shared" si="10"/>
        <v>#DIV/0!</v>
      </c>
      <c r="BT47" s="22" t="e">
        <f t="shared" si="11"/>
        <v>#DIV/0!</v>
      </c>
      <c r="BU47" s="22"/>
      <c r="BV47" s="22" t="e">
        <f t="shared" si="12"/>
        <v>#DIV/0!</v>
      </c>
      <c r="BW47" s="22" t="e">
        <f t="shared" si="13"/>
        <v>#DIV/0!</v>
      </c>
      <c r="BX47" s="22"/>
      <c r="BY47" s="22" t="e">
        <f t="shared" si="14"/>
        <v>#DIV/0!</v>
      </c>
    </row>
    <row r="48" spans="1:77" ht="24.75" hidden="1" customHeight="1" x14ac:dyDescent="0.25">
      <c r="A48" s="11" t="s">
        <v>152</v>
      </c>
      <c r="B48" s="39" t="s">
        <v>153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35</v>
      </c>
      <c r="T48" s="22">
        <v>35</v>
      </c>
      <c r="U48" s="22">
        <v>35</v>
      </c>
      <c r="V48" s="22">
        <v>0</v>
      </c>
      <c r="W48" s="22">
        <v>26</v>
      </c>
      <c r="X48" s="22">
        <v>43.566580000000002</v>
      </c>
      <c r="Y48" s="22">
        <v>43.566580000000002</v>
      </c>
      <c r="Z48" s="22">
        <v>0</v>
      </c>
      <c r="AA48" s="22">
        <v>54</v>
      </c>
      <c r="AB48" s="22">
        <v>68.917529999999999</v>
      </c>
      <c r="AC48" s="22">
        <v>104.99227999999999</v>
      </c>
      <c r="AD48" s="22">
        <v>0</v>
      </c>
      <c r="AE48" s="22">
        <v>141</v>
      </c>
      <c r="AF48" s="22">
        <v>172.66293999999999</v>
      </c>
      <c r="AG48" s="22">
        <v>136.58819</v>
      </c>
      <c r="AH48" s="22">
        <v>0</v>
      </c>
      <c r="AI48" s="22">
        <v>0</v>
      </c>
      <c r="AJ48" s="22">
        <v>0</v>
      </c>
      <c r="AK48" s="22">
        <v>938</v>
      </c>
      <c r="AL48" s="22">
        <v>960.81014000000005</v>
      </c>
      <c r="AM48" s="22">
        <v>1055.57809</v>
      </c>
      <c r="AN48" s="22">
        <v>0</v>
      </c>
      <c r="AO48" s="22">
        <v>3</v>
      </c>
      <c r="AP48" s="22">
        <v>6</v>
      </c>
      <c r="AQ48" s="22"/>
      <c r="AR48" s="22"/>
      <c r="AS48" s="22"/>
      <c r="AT48" s="22">
        <v>1150</v>
      </c>
      <c r="AU48" s="22">
        <v>1150</v>
      </c>
      <c r="AV48" s="22">
        <v>1312.9601399999999</v>
      </c>
      <c r="AW48" s="22">
        <v>1339.98534</v>
      </c>
      <c r="AX48" s="22">
        <v>0</v>
      </c>
      <c r="AY48" s="22">
        <v>0</v>
      </c>
      <c r="AZ48" s="22">
        <v>0</v>
      </c>
      <c r="BA48" s="22"/>
      <c r="BB48" s="22">
        <v>2</v>
      </c>
      <c r="BC48" s="22">
        <v>1300</v>
      </c>
      <c r="BD48" s="22">
        <v>1300</v>
      </c>
      <c r="BE48" s="22">
        <v>1381.8450800000001</v>
      </c>
      <c r="BF48" s="22">
        <v>1462.45271</v>
      </c>
      <c r="BG48" s="22">
        <f t="shared" si="3"/>
        <v>105.24653703500854</v>
      </c>
      <c r="BH48" s="22">
        <v>1252.5</v>
      </c>
      <c r="BI48" s="22">
        <v>1349.7</v>
      </c>
      <c r="BJ48" s="22">
        <v>1361.9</v>
      </c>
      <c r="BK48" s="21">
        <v>1252.5</v>
      </c>
      <c r="BL48" s="29">
        <v>1252.5</v>
      </c>
      <c r="BM48" s="29"/>
      <c r="BN48" s="25"/>
      <c r="BO48" s="29"/>
      <c r="BP48" s="22">
        <v>1552.8</v>
      </c>
      <c r="BQ48" s="22">
        <f t="shared" si="9"/>
        <v>112.37149681062655</v>
      </c>
      <c r="BR48" s="22">
        <v>1386.6</v>
      </c>
      <c r="BS48" s="22">
        <f t="shared" si="10"/>
        <v>89.2967542503864</v>
      </c>
      <c r="BT48" s="22">
        <f t="shared" si="11"/>
        <v>102.73394087575016</v>
      </c>
      <c r="BU48" s="22">
        <v>1411</v>
      </c>
      <c r="BV48" s="22">
        <f t="shared" si="12"/>
        <v>101.75969998557623</v>
      </c>
      <c r="BW48" s="22">
        <f t="shared" si="13"/>
        <v>103.60525736103972</v>
      </c>
      <c r="BX48" s="22">
        <v>1421</v>
      </c>
      <c r="BY48" s="22">
        <f t="shared" si="14"/>
        <v>100.70871722182848</v>
      </c>
    </row>
    <row r="49" spans="1:77" ht="22.5" hidden="1" customHeight="1" x14ac:dyDescent="0.25">
      <c r="A49" s="11"/>
      <c r="B49" s="39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 t="e">
        <f t="shared" si="3"/>
        <v>#DIV/0!</v>
      </c>
      <c r="BH49" s="22"/>
      <c r="BI49" s="22"/>
      <c r="BJ49" s="22"/>
      <c r="BK49" s="21"/>
      <c r="BL49" s="29"/>
      <c r="BM49" s="29"/>
      <c r="BN49" s="25"/>
      <c r="BO49" s="29"/>
      <c r="BP49" s="22"/>
      <c r="BQ49" s="22" t="e">
        <f t="shared" si="9"/>
        <v>#DIV/0!</v>
      </c>
      <c r="BR49" s="22"/>
      <c r="BS49" s="22" t="e">
        <f t="shared" si="10"/>
        <v>#DIV/0!</v>
      </c>
      <c r="BT49" s="22" t="e">
        <f t="shared" si="11"/>
        <v>#DIV/0!</v>
      </c>
      <c r="BU49" s="22"/>
      <c r="BV49" s="22" t="e">
        <f t="shared" si="12"/>
        <v>#DIV/0!</v>
      </c>
      <c r="BW49" s="22" t="e">
        <f t="shared" si="13"/>
        <v>#DIV/0!</v>
      </c>
      <c r="BX49" s="22"/>
      <c r="BY49" s="22" t="e">
        <f t="shared" si="14"/>
        <v>#DIV/0!</v>
      </c>
    </row>
    <row r="50" spans="1:77" ht="29.25" hidden="1" customHeight="1" x14ac:dyDescent="0.25">
      <c r="A50" s="19" t="s">
        <v>154</v>
      </c>
      <c r="B50" s="20" t="s">
        <v>155</v>
      </c>
      <c r="C50" s="21">
        <f>C54+C51</f>
        <v>138.38155</v>
      </c>
      <c r="D50" s="21">
        <f>D54+D51</f>
        <v>0</v>
      </c>
      <c r="E50" s="21">
        <f>E54+E51+E52</f>
        <v>14.8</v>
      </c>
      <c r="F50" s="21">
        <f>F54+F51+F52</f>
        <v>18.445499999999999</v>
      </c>
      <c r="G50" s="21">
        <f>G54+G51</f>
        <v>8</v>
      </c>
      <c r="H50" s="21">
        <f>H54+H51+H52</f>
        <v>43.8</v>
      </c>
      <c r="I50" s="21">
        <f>I54+I51+I52</f>
        <v>44.074260000000002</v>
      </c>
      <c r="J50" s="21">
        <f>J54+J51</f>
        <v>71</v>
      </c>
      <c r="K50" s="21">
        <f>K54+K51+K52</f>
        <v>247</v>
      </c>
      <c r="L50" s="21">
        <f>L54+L51+L52</f>
        <v>246.31367</v>
      </c>
      <c r="M50" s="21">
        <f>M54+M51+M52</f>
        <v>246.31367</v>
      </c>
      <c r="N50" s="21">
        <f>N54+N51</f>
        <v>71</v>
      </c>
      <c r="O50" s="21">
        <f>O54+O51+O52</f>
        <v>0</v>
      </c>
      <c r="P50" s="21"/>
      <c r="Q50" s="21">
        <f>Q54+Q51+Q52</f>
        <v>-43900.86881</v>
      </c>
      <c r="R50" s="21">
        <f>R54+R51</f>
        <v>0</v>
      </c>
      <c r="S50" s="21">
        <f>S54+S51+S52</f>
        <v>96</v>
      </c>
      <c r="T50" s="21">
        <f>T51</f>
        <v>96.037000000000006</v>
      </c>
      <c r="U50" s="21">
        <f>U54+U51+U52</f>
        <v>-8566.3933699999998</v>
      </c>
      <c r="V50" s="21">
        <f>V54+V51</f>
        <v>0</v>
      </c>
      <c r="W50" s="21">
        <f>W54+W51+W52</f>
        <v>0</v>
      </c>
      <c r="X50" s="21">
        <f>X51</f>
        <v>0</v>
      </c>
      <c r="Y50" s="21">
        <f>Y54+Y51+Y52</f>
        <v>-2.8206000000000002</v>
      </c>
      <c r="Z50" s="21">
        <f>Z54+Z51</f>
        <v>0</v>
      </c>
      <c r="AA50" s="21">
        <f>AA54+AA51+AA52</f>
        <v>0</v>
      </c>
      <c r="AB50" s="21">
        <f>AB51</f>
        <v>0</v>
      </c>
      <c r="AC50" s="21">
        <f>AC54+AC51+AC52+AC25+AC33+AC45</f>
        <v>1771.83907</v>
      </c>
      <c r="AD50" s="21">
        <f>AD54+AD51</f>
        <v>0</v>
      </c>
      <c r="AE50" s="21">
        <f>AE54+AE51+AE52</f>
        <v>0</v>
      </c>
      <c r="AF50" s="21">
        <f>AF51</f>
        <v>0</v>
      </c>
      <c r="AG50" s="21">
        <f>AG54+AG51+AG52+AG25+AG33+AG45</f>
        <v>-32195.580480000001</v>
      </c>
      <c r="AH50" s="21">
        <f>AH54+AH51</f>
        <v>0</v>
      </c>
      <c r="AI50" s="21">
        <f>AI54+AI51</f>
        <v>0</v>
      </c>
      <c r="AJ50" s="21">
        <f>AJ54+AJ51</f>
        <v>0</v>
      </c>
      <c r="AK50" s="21">
        <f>AK54+AK51+AK52</f>
        <v>0</v>
      </c>
      <c r="AL50" s="21">
        <f>AL51</f>
        <v>0</v>
      </c>
      <c r="AM50" s="21">
        <f>AM54+AM51+AM52+AM25+AM33+AM45+AM31</f>
        <v>-167.15698</v>
      </c>
      <c r="AN50" s="21">
        <f>AN54+AN51</f>
        <v>0</v>
      </c>
      <c r="AO50" s="21">
        <f>AO54+AO51</f>
        <v>3</v>
      </c>
      <c r="AP50" s="21">
        <f>AP54+AP51</f>
        <v>6</v>
      </c>
      <c r="AQ50" s="21">
        <v>0</v>
      </c>
      <c r="AR50" s="21">
        <v>0</v>
      </c>
      <c r="AS50" s="21"/>
      <c r="AT50" s="21">
        <f>AT51</f>
        <v>0</v>
      </c>
      <c r="AU50" s="21">
        <f>AU51</f>
        <v>0</v>
      </c>
      <c r="AV50" s="21">
        <f>AV51</f>
        <v>0</v>
      </c>
      <c r="AW50" s="21">
        <v>-9227.5849400000006</v>
      </c>
      <c r="AX50" s="21">
        <f>AX54+AX51</f>
        <v>0</v>
      </c>
      <c r="AY50" s="21">
        <f>AY54+AY51</f>
        <v>0</v>
      </c>
      <c r="AZ50" s="21">
        <f>AZ54+AZ51</f>
        <v>0</v>
      </c>
      <c r="BA50" s="21">
        <v>0</v>
      </c>
      <c r="BB50" s="21">
        <v>0</v>
      </c>
      <c r="BC50" s="21"/>
      <c r="BD50" s="21"/>
      <c r="BE50" s="21"/>
      <c r="BF50" s="21">
        <v>-23459.610619999999</v>
      </c>
      <c r="BG50" s="22" t="e">
        <f t="shared" si="3"/>
        <v>#DIV/0!</v>
      </c>
      <c r="BH50" s="21">
        <f>BH54+BH51</f>
        <v>0</v>
      </c>
      <c r="BI50" s="21">
        <f>BI54+BI51</f>
        <v>0</v>
      </c>
      <c r="BJ50" s="21">
        <f>BJ54+BJ51</f>
        <v>0</v>
      </c>
      <c r="BK50" s="23">
        <f>BK54+BK51</f>
        <v>0</v>
      </c>
      <c r="BL50" s="24">
        <f>BL54+BL51</f>
        <v>0</v>
      </c>
      <c r="BM50" s="24"/>
      <c r="BN50" s="25"/>
      <c r="BO50" s="24"/>
      <c r="BP50" s="21">
        <f>BP54+BP51</f>
        <v>0</v>
      </c>
      <c r="BQ50" s="22" t="e">
        <f t="shared" si="9"/>
        <v>#DIV/0!</v>
      </c>
      <c r="BR50" s="21">
        <f>BR54+BR51</f>
        <v>0</v>
      </c>
      <c r="BS50" s="22" t="e">
        <f t="shared" si="10"/>
        <v>#DIV/0!</v>
      </c>
      <c r="BT50" s="22" t="e">
        <f t="shared" si="11"/>
        <v>#DIV/0!</v>
      </c>
      <c r="BU50" s="21">
        <f>BU54+BU51</f>
        <v>0</v>
      </c>
      <c r="BV50" s="22" t="e">
        <f t="shared" si="12"/>
        <v>#DIV/0!</v>
      </c>
      <c r="BW50" s="22" t="e">
        <f t="shared" si="13"/>
        <v>#DIV/0!</v>
      </c>
      <c r="BX50" s="21">
        <f>BX54+BX51</f>
        <v>0</v>
      </c>
      <c r="BY50" s="22" t="e">
        <f t="shared" si="14"/>
        <v>#DIV/0!</v>
      </c>
    </row>
    <row r="51" spans="1:77" ht="22.5" hidden="1" customHeight="1" x14ac:dyDescent="0.25">
      <c r="A51" s="11" t="s">
        <v>156</v>
      </c>
      <c r="B51" s="38" t="s">
        <v>157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/>
      <c r="Q51" s="22">
        <v>-43900.86881</v>
      </c>
      <c r="R51" s="22">
        <v>0</v>
      </c>
      <c r="S51" s="22">
        <v>96</v>
      </c>
      <c r="T51" s="22">
        <v>96.037000000000006</v>
      </c>
      <c r="U51" s="22">
        <f>-8394.94895+96.03699-267.48141</f>
        <v>-8566.3933699999998</v>
      </c>
      <c r="V51" s="22">
        <v>0</v>
      </c>
      <c r="W51" s="22">
        <v>0</v>
      </c>
      <c r="X51" s="22">
        <v>0</v>
      </c>
      <c r="Y51" s="22">
        <v>-2.8206000000000002</v>
      </c>
      <c r="Z51" s="22">
        <v>0</v>
      </c>
      <c r="AA51" s="22">
        <v>0</v>
      </c>
      <c r="AB51" s="22">
        <v>0</v>
      </c>
      <c r="AC51" s="22">
        <v>-9470.9848299999994</v>
      </c>
      <c r="AD51" s="22">
        <v>0</v>
      </c>
      <c r="AE51" s="22">
        <v>0</v>
      </c>
      <c r="AF51" s="22">
        <v>0</v>
      </c>
      <c r="AG51" s="22">
        <v>-32164.783100000001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/>
      <c r="AN51" s="22">
        <v>0</v>
      </c>
      <c r="AO51" s="22">
        <v>3</v>
      </c>
      <c r="AP51" s="22">
        <v>6</v>
      </c>
      <c r="AQ51" s="22"/>
      <c r="AR51" s="22"/>
      <c r="AS51" s="22"/>
      <c r="AT51" s="22">
        <v>0</v>
      </c>
      <c r="AU51" s="22">
        <v>0</v>
      </c>
      <c r="AV51" s="22">
        <v>0</v>
      </c>
      <c r="AW51" s="22"/>
      <c r="AX51" s="22">
        <v>0</v>
      </c>
      <c r="AY51" s="22">
        <v>0</v>
      </c>
      <c r="AZ51" s="22">
        <v>0</v>
      </c>
      <c r="BA51" s="22"/>
      <c r="BB51" s="22">
        <v>2</v>
      </c>
      <c r="BC51" s="22"/>
      <c r="BD51" s="22"/>
      <c r="BE51" s="22"/>
      <c r="BF51" s="22">
        <v>-3354.1867699999998</v>
      </c>
      <c r="BG51" s="22" t="e">
        <f t="shared" si="3"/>
        <v>#DIV/0!</v>
      </c>
      <c r="BH51" s="22">
        <v>0</v>
      </c>
      <c r="BI51" s="22">
        <v>0</v>
      </c>
      <c r="BJ51" s="22">
        <v>0</v>
      </c>
      <c r="BK51" s="21"/>
      <c r="BL51" s="29"/>
      <c r="BM51" s="29"/>
      <c r="BN51" s="25"/>
      <c r="BO51" s="29"/>
      <c r="BP51" s="22">
        <v>0</v>
      </c>
      <c r="BQ51" s="22" t="e">
        <f t="shared" si="9"/>
        <v>#DIV/0!</v>
      </c>
      <c r="BR51" s="22">
        <v>0</v>
      </c>
      <c r="BS51" s="22" t="e">
        <f t="shared" si="10"/>
        <v>#DIV/0!</v>
      </c>
      <c r="BT51" s="22" t="e">
        <f t="shared" si="11"/>
        <v>#DIV/0!</v>
      </c>
      <c r="BU51" s="22">
        <v>0</v>
      </c>
      <c r="BV51" s="22" t="e">
        <f t="shared" si="12"/>
        <v>#DIV/0!</v>
      </c>
      <c r="BW51" s="22" t="e">
        <f t="shared" si="13"/>
        <v>#DIV/0!</v>
      </c>
      <c r="BX51" s="22">
        <v>0</v>
      </c>
      <c r="BY51" s="22" t="e">
        <f t="shared" si="14"/>
        <v>#DIV/0!</v>
      </c>
    </row>
    <row r="52" spans="1:77" ht="22.5" hidden="1" customHeight="1" x14ac:dyDescent="0.25">
      <c r="A52" s="11" t="s">
        <v>158</v>
      </c>
      <c r="B52" s="38" t="s">
        <v>159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/>
      <c r="Q52" s="22">
        <v>0</v>
      </c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 t="e">
        <f t="shared" si="3"/>
        <v>#DIV/0!</v>
      </c>
      <c r="BH52" s="22"/>
      <c r="BI52" s="22"/>
      <c r="BJ52" s="22"/>
      <c r="BK52" s="21"/>
      <c r="BL52" s="29"/>
      <c r="BM52" s="29"/>
      <c r="BN52" s="25"/>
      <c r="BO52" s="29"/>
      <c r="BP52" s="22"/>
      <c r="BQ52" s="22" t="e">
        <f t="shared" si="9"/>
        <v>#DIV/0!</v>
      </c>
      <c r="BR52" s="22"/>
      <c r="BS52" s="22" t="e">
        <f t="shared" si="10"/>
        <v>#DIV/0!</v>
      </c>
      <c r="BT52" s="22" t="e">
        <f t="shared" si="11"/>
        <v>#DIV/0!</v>
      </c>
      <c r="BU52" s="22"/>
      <c r="BV52" s="22" t="e">
        <f t="shared" si="12"/>
        <v>#DIV/0!</v>
      </c>
      <c r="BW52" s="22" t="e">
        <f t="shared" si="13"/>
        <v>#DIV/0!</v>
      </c>
      <c r="BX52" s="22"/>
      <c r="BY52" s="22" t="e">
        <f t="shared" si="14"/>
        <v>#DIV/0!</v>
      </c>
    </row>
    <row r="53" spans="1:77" ht="22.5" hidden="1" customHeight="1" x14ac:dyDescent="0.25">
      <c r="A53" s="11" t="s">
        <v>160</v>
      </c>
      <c r="B53" s="38" t="s">
        <v>161</v>
      </c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 t="e">
        <f t="shared" si="3"/>
        <v>#DIV/0!</v>
      </c>
      <c r="BH53" s="22"/>
      <c r="BI53" s="22"/>
      <c r="BJ53" s="22"/>
      <c r="BK53" s="21"/>
      <c r="BL53" s="29"/>
      <c r="BM53" s="29"/>
      <c r="BN53" s="25"/>
      <c r="BO53" s="29"/>
      <c r="BP53" s="22"/>
      <c r="BQ53" s="22" t="e">
        <f t="shared" si="9"/>
        <v>#DIV/0!</v>
      </c>
      <c r="BR53" s="22"/>
      <c r="BS53" s="22" t="e">
        <f t="shared" si="10"/>
        <v>#DIV/0!</v>
      </c>
      <c r="BT53" s="22" t="e">
        <f t="shared" si="11"/>
        <v>#DIV/0!</v>
      </c>
      <c r="BU53" s="22"/>
      <c r="BV53" s="22" t="e">
        <f t="shared" si="12"/>
        <v>#DIV/0!</v>
      </c>
      <c r="BW53" s="22" t="e">
        <f t="shared" si="13"/>
        <v>#DIV/0!</v>
      </c>
      <c r="BX53" s="22"/>
      <c r="BY53" s="22" t="e">
        <f t="shared" si="14"/>
        <v>#DIV/0!</v>
      </c>
    </row>
    <row r="54" spans="1:77" ht="22.5" hidden="1" customHeight="1" x14ac:dyDescent="0.25">
      <c r="A54" s="11" t="s">
        <v>162</v>
      </c>
      <c r="B54" s="38" t="s">
        <v>163</v>
      </c>
      <c r="C54" s="22">
        <v>138.38155</v>
      </c>
      <c r="D54" s="22">
        <v>0</v>
      </c>
      <c r="E54" s="22">
        <v>14.8</v>
      </c>
      <c r="F54" s="22">
        <v>18.445499999999999</v>
      </c>
      <c r="G54" s="22">
        <v>8</v>
      </c>
      <c r="H54" s="22">
        <v>43.8</v>
      </c>
      <c r="I54" s="22">
        <v>44.074260000000002</v>
      </c>
      <c r="J54" s="22">
        <v>71</v>
      </c>
      <c r="K54" s="22">
        <v>247</v>
      </c>
      <c r="L54" s="22">
        <v>246.31367</v>
      </c>
      <c r="M54" s="22">
        <v>246.31367</v>
      </c>
      <c r="N54" s="22">
        <v>71</v>
      </c>
      <c r="O54" s="22">
        <v>0</v>
      </c>
      <c r="P54" s="22"/>
      <c r="Q54" s="22">
        <v>0</v>
      </c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 t="e">
        <f t="shared" si="3"/>
        <v>#DIV/0!</v>
      </c>
      <c r="BH54" s="22"/>
      <c r="BI54" s="22"/>
      <c r="BJ54" s="22"/>
      <c r="BK54" s="21"/>
      <c r="BL54" s="29"/>
      <c r="BM54" s="29"/>
      <c r="BN54" s="25"/>
      <c r="BO54" s="29"/>
      <c r="BP54" s="22"/>
      <c r="BQ54" s="22" t="e">
        <f t="shared" si="9"/>
        <v>#DIV/0!</v>
      </c>
      <c r="BR54" s="22"/>
      <c r="BS54" s="22" t="e">
        <f t="shared" si="10"/>
        <v>#DIV/0!</v>
      </c>
      <c r="BT54" s="22" t="e">
        <f t="shared" si="11"/>
        <v>#DIV/0!</v>
      </c>
      <c r="BU54" s="22"/>
      <c r="BV54" s="22" t="e">
        <f t="shared" si="12"/>
        <v>#DIV/0!</v>
      </c>
      <c r="BW54" s="22" t="e">
        <f t="shared" si="13"/>
        <v>#DIV/0!</v>
      </c>
      <c r="BX54" s="22"/>
      <c r="BY54" s="22" t="e">
        <f t="shared" si="14"/>
        <v>#DIV/0!</v>
      </c>
    </row>
    <row r="55" spans="1:77" ht="22.5" customHeight="1" x14ac:dyDescent="0.25">
      <c r="A55" s="19" t="s">
        <v>164</v>
      </c>
      <c r="B55" s="40" t="s">
        <v>165</v>
      </c>
      <c r="C55" s="21">
        <f>C57+C58+C59</f>
        <v>1977.8404</v>
      </c>
      <c r="D55" s="21">
        <f>D57+D58</f>
        <v>0</v>
      </c>
      <c r="E55" s="21">
        <f>E57+E58</f>
        <v>1125</v>
      </c>
      <c r="F55" s="21">
        <f>F57+F58</f>
        <v>1124.9659999999999</v>
      </c>
      <c r="G55" s="21">
        <f>G57+G58</f>
        <v>0</v>
      </c>
      <c r="H55" s="21">
        <f>H57+H58+H61+H56</f>
        <v>37.700000000000003</v>
      </c>
      <c r="I55" s="21">
        <f>I57+I58+I61+I56</f>
        <v>37.766019999999997</v>
      </c>
      <c r="J55" s="21">
        <f>J57+J58</f>
        <v>0</v>
      </c>
      <c r="K55" s="21">
        <f>K57+K58+K61+K56</f>
        <v>0</v>
      </c>
      <c r="L55" s="21">
        <f>L57+L58+L61+L56</f>
        <v>0</v>
      </c>
      <c r="M55" s="21">
        <f>M57+M58+M61+M56</f>
        <v>0</v>
      </c>
      <c r="N55" s="21">
        <f>N57+N58</f>
        <v>0</v>
      </c>
      <c r="O55" s="21">
        <f>O57+O58+O61+O56</f>
        <v>0</v>
      </c>
      <c r="P55" s="21">
        <f>P57+P58+P61+P56+P59</f>
        <v>62.073</v>
      </c>
      <c r="Q55" s="21">
        <f>Q57+Q58+Q61+Q56+Q59</f>
        <v>62.073</v>
      </c>
      <c r="R55" s="21">
        <f>R57+R58</f>
        <v>0</v>
      </c>
      <c r="S55" s="21">
        <f>S57+S58+S61+S56+S59</f>
        <v>49.3</v>
      </c>
      <c r="T55" s="21">
        <f>T57+T58+T61+T56+T59</f>
        <v>49.271999999999998</v>
      </c>
      <c r="U55" s="21">
        <f>U57+U58+U61+U56+U59</f>
        <v>119.61978000000001</v>
      </c>
      <c r="V55" s="21">
        <f>V57+V58</f>
        <v>0</v>
      </c>
      <c r="W55" s="21">
        <f>W57+W58+W61+W56+W59</f>
        <v>83</v>
      </c>
      <c r="X55" s="21">
        <f>X57+X58+X61+X56+X59</f>
        <v>88.743709999999993</v>
      </c>
      <c r="Y55" s="21">
        <f>Y57+Y58+Y61+Y56+Y59</f>
        <v>88.543710000000004</v>
      </c>
      <c r="Z55" s="21">
        <f>Z57+Z58</f>
        <v>0</v>
      </c>
      <c r="AA55" s="21">
        <f>AA57+AA58+AA61+AA56+AA59</f>
        <v>16.100000000000001</v>
      </c>
      <c r="AB55" s="21">
        <f>AB57+AB58+AB61+AB56+AB59</f>
        <v>21.044139999999999</v>
      </c>
      <c r="AC55" s="21">
        <f>AC57+AC58+AC61+AC56+AC59</f>
        <v>21.044139999999999</v>
      </c>
      <c r="AD55" s="21">
        <f>AD57+AD58</f>
        <v>0</v>
      </c>
      <c r="AE55" s="21">
        <f>AE57+AE58+AE61+AE56+AE59</f>
        <v>65</v>
      </c>
      <c r="AF55" s="21">
        <f>AF57+AF58+AF61+AF56+AF59</f>
        <v>111.35687999999999</v>
      </c>
      <c r="AG55" s="21">
        <f>AG57+AG58+AG61+AG56+AG59</f>
        <v>111.35688</v>
      </c>
      <c r="AH55" s="21">
        <f>AH57+AH58</f>
        <v>0</v>
      </c>
      <c r="AI55" s="21">
        <f>AI57+AI58</f>
        <v>0</v>
      </c>
      <c r="AJ55" s="21">
        <f>AJ57+AJ58</f>
        <v>0</v>
      </c>
      <c r="AK55" s="21">
        <f>AK57+AK58+AK61+AK56+AK59</f>
        <v>102.8</v>
      </c>
      <c r="AL55" s="21">
        <f>AL59</f>
        <v>102.82123</v>
      </c>
      <c r="AM55" s="21">
        <f>AM57+AM58+AM61+AM56+AM59</f>
        <v>45.649410000000003</v>
      </c>
      <c r="AN55" s="21">
        <f>AN57+AN58</f>
        <v>0</v>
      </c>
      <c r="AO55" s="21">
        <f>AO57+AO58</f>
        <v>0</v>
      </c>
      <c r="AP55" s="21">
        <f>AP57+AP58</f>
        <v>0</v>
      </c>
      <c r="AQ55" s="21">
        <v>48.5</v>
      </c>
      <c r="AR55" s="21">
        <v>87.5</v>
      </c>
      <c r="AS55" s="21">
        <v>87.5</v>
      </c>
      <c r="AT55" s="21">
        <f>AT59</f>
        <v>447.5</v>
      </c>
      <c r="AU55" s="21">
        <f>AU59+AU62</f>
        <v>455.5</v>
      </c>
      <c r="AV55" s="21">
        <f>AV59+AV62</f>
        <v>470.18727000000001</v>
      </c>
      <c r="AW55" s="21">
        <f>AW59+AW62</f>
        <v>457.01130999999998</v>
      </c>
      <c r="AX55" s="21">
        <f>AX57+AX58</f>
        <v>0</v>
      </c>
      <c r="AY55" s="21">
        <f>AY57+AY58</f>
        <v>0</v>
      </c>
      <c r="AZ55" s="21">
        <f>AZ57+AZ58</f>
        <v>0</v>
      </c>
      <c r="BA55" s="21">
        <v>0</v>
      </c>
      <c r="BB55" s="21">
        <v>0</v>
      </c>
      <c r="BC55" s="21"/>
      <c r="BD55" s="21">
        <f>BD59</f>
        <v>12.9</v>
      </c>
      <c r="BE55" s="21">
        <f>BE59+BE62+BE58+BE60</f>
        <v>12.93243</v>
      </c>
      <c r="BF55" s="21">
        <f>BF59+BF62+BF58+BF60</f>
        <v>2.9324300000000001</v>
      </c>
      <c r="BG55" s="22">
        <f t="shared" si="3"/>
        <v>2.7504849291219644</v>
      </c>
      <c r="BH55" s="21">
        <f>BH57+BH58</f>
        <v>0</v>
      </c>
      <c r="BI55" s="21">
        <f>BI57+BI58</f>
        <v>0</v>
      </c>
      <c r="BJ55" s="21">
        <f>BJ57+BJ58</f>
        <v>0</v>
      </c>
      <c r="BK55" s="23">
        <f>BK59</f>
        <v>14.2</v>
      </c>
      <c r="BL55" s="24">
        <f>BL59</f>
        <v>14.2</v>
      </c>
      <c r="BM55" s="24">
        <v>14.2</v>
      </c>
      <c r="BN55" s="25">
        <v>14.2</v>
      </c>
      <c r="BO55" s="24">
        <v>14.2</v>
      </c>
      <c r="BP55" s="21">
        <f>BP57+BP58+BP59</f>
        <v>14.2</v>
      </c>
      <c r="BQ55" s="22">
        <f t="shared" si="9"/>
        <v>109.80148355722783</v>
      </c>
      <c r="BR55" s="21"/>
      <c r="BS55" s="22"/>
      <c r="BT55" s="22"/>
      <c r="BU55" s="21"/>
      <c r="BV55" s="22"/>
      <c r="BW55" s="22"/>
      <c r="BX55" s="21"/>
      <c r="BY55" s="22"/>
    </row>
    <row r="56" spans="1:77" s="26" customFormat="1" ht="22.5" hidden="1" customHeight="1" x14ac:dyDescent="0.25">
      <c r="A56" s="11" t="s">
        <v>166</v>
      </c>
      <c r="B56" s="38" t="s">
        <v>167</v>
      </c>
      <c r="C56" s="22"/>
      <c r="D56" s="21"/>
      <c r="E56" s="21"/>
      <c r="F56" s="22"/>
      <c r="G56" s="22"/>
      <c r="H56" s="22">
        <v>10.5</v>
      </c>
      <c r="I56" s="22"/>
      <c r="J56" s="22"/>
      <c r="K56" s="22">
        <v>0</v>
      </c>
      <c r="L56" s="22"/>
      <c r="M56" s="22"/>
      <c r="N56" s="22"/>
      <c r="O56" s="22"/>
      <c r="P56" s="22"/>
      <c r="Q56" s="22">
        <v>0</v>
      </c>
      <c r="R56" s="22"/>
      <c r="S56" s="22"/>
      <c r="T56" s="22"/>
      <c r="U56" s="22">
        <v>0</v>
      </c>
      <c r="V56" s="22"/>
      <c r="W56" s="22"/>
      <c r="X56" s="22"/>
      <c r="Y56" s="22">
        <v>0</v>
      </c>
      <c r="Z56" s="22"/>
      <c r="AA56" s="22"/>
      <c r="AB56" s="22"/>
      <c r="AC56" s="22">
        <v>0</v>
      </c>
      <c r="AD56" s="22"/>
      <c r="AE56" s="22"/>
      <c r="AF56" s="22"/>
      <c r="AG56" s="22">
        <v>0</v>
      </c>
      <c r="AH56" s="22"/>
      <c r="AI56" s="22"/>
      <c r="AJ56" s="22"/>
      <c r="AK56" s="22"/>
      <c r="AL56" s="22"/>
      <c r="AM56" s="22">
        <v>0</v>
      </c>
      <c r="AN56" s="22"/>
      <c r="AO56" s="22"/>
      <c r="AP56" s="22"/>
      <c r="AQ56" s="22"/>
      <c r="AR56" s="22"/>
      <c r="AS56" s="22"/>
      <c r="AT56" s="22"/>
      <c r="AU56" s="22"/>
      <c r="AV56" s="22"/>
      <c r="AW56" s="22">
        <v>0</v>
      </c>
      <c r="AX56" s="22"/>
      <c r="AY56" s="22"/>
      <c r="AZ56" s="22"/>
      <c r="BA56" s="22"/>
      <c r="BB56" s="22"/>
      <c r="BC56" s="22"/>
      <c r="BD56" s="22"/>
      <c r="BE56" s="22"/>
      <c r="BF56" s="22">
        <v>0</v>
      </c>
      <c r="BG56" s="22" t="e">
        <f t="shared" si="3"/>
        <v>#DIV/0!</v>
      </c>
      <c r="BH56" s="22"/>
      <c r="BI56" s="22"/>
      <c r="BJ56" s="22"/>
      <c r="BK56" s="21"/>
      <c r="BL56" s="29"/>
      <c r="BM56" s="29"/>
      <c r="BN56" s="25"/>
      <c r="BO56" s="29"/>
      <c r="BP56" s="22"/>
      <c r="BQ56" s="22" t="e">
        <f t="shared" si="9"/>
        <v>#DIV/0!</v>
      </c>
      <c r="BR56" s="22"/>
      <c r="BS56" s="22" t="e">
        <f t="shared" si="10"/>
        <v>#DIV/0!</v>
      </c>
      <c r="BT56" s="22" t="e">
        <f t="shared" si="11"/>
        <v>#DIV/0!</v>
      </c>
      <c r="BU56" s="22"/>
      <c r="BV56" s="22" t="e">
        <f t="shared" si="12"/>
        <v>#DIV/0!</v>
      </c>
      <c r="BW56" s="22" t="e">
        <f t="shared" si="13"/>
        <v>#DIV/0!</v>
      </c>
      <c r="BX56" s="22"/>
      <c r="BY56" s="22" t="e">
        <f t="shared" si="14"/>
        <v>#DIV/0!</v>
      </c>
    </row>
    <row r="57" spans="1:77" ht="22.5" hidden="1" customHeight="1" x14ac:dyDescent="0.25">
      <c r="A57" s="11" t="s">
        <v>168</v>
      </c>
      <c r="B57" s="38" t="s">
        <v>169</v>
      </c>
      <c r="C57" s="22">
        <v>1927.8404</v>
      </c>
      <c r="D57" s="22">
        <v>0</v>
      </c>
      <c r="E57" s="22">
        <v>1125</v>
      </c>
      <c r="F57" s="22">
        <v>1124.9659999999999</v>
      </c>
      <c r="G57" s="22">
        <v>0</v>
      </c>
      <c r="H57" s="22">
        <v>0</v>
      </c>
      <c r="I57" s="22">
        <v>10.525</v>
      </c>
      <c r="J57" s="22">
        <v>0</v>
      </c>
      <c r="K57" s="22">
        <v>0</v>
      </c>
      <c r="L57" s="22"/>
      <c r="M57" s="22"/>
      <c r="N57" s="22"/>
      <c r="O57" s="22"/>
      <c r="P57" s="22"/>
      <c r="Q57" s="22">
        <v>0</v>
      </c>
      <c r="R57" s="22"/>
      <c r="S57" s="22"/>
      <c r="T57" s="22"/>
      <c r="U57" s="22">
        <v>0</v>
      </c>
      <c r="V57" s="22"/>
      <c r="W57" s="22"/>
      <c r="X57" s="22"/>
      <c r="Y57" s="22">
        <v>0</v>
      </c>
      <c r="Z57" s="22"/>
      <c r="AA57" s="22"/>
      <c r="AB57" s="22"/>
      <c r="AC57" s="22">
        <v>0</v>
      </c>
      <c r="AD57" s="22"/>
      <c r="AE57" s="22"/>
      <c r="AF57" s="22"/>
      <c r="AG57" s="22">
        <v>0</v>
      </c>
      <c r="AH57" s="22"/>
      <c r="AI57" s="22"/>
      <c r="AJ57" s="22"/>
      <c r="AK57" s="22"/>
      <c r="AL57" s="22"/>
      <c r="AM57" s="22">
        <v>0</v>
      </c>
      <c r="AN57" s="22"/>
      <c r="AO57" s="22"/>
      <c r="AP57" s="22"/>
      <c r="AQ57" s="22"/>
      <c r="AR57" s="22"/>
      <c r="AS57" s="22"/>
      <c r="AT57" s="22"/>
      <c r="AU57" s="22"/>
      <c r="AV57" s="22"/>
      <c r="AW57" s="22">
        <v>0</v>
      </c>
      <c r="AX57" s="22"/>
      <c r="AY57" s="22"/>
      <c r="AZ57" s="22"/>
      <c r="BA57" s="22"/>
      <c r="BB57" s="22"/>
      <c r="BC57" s="22"/>
      <c r="BD57" s="22"/>
      <c r="BE57" s="22"/>
      <c r="BF57" s="22">
        <v>0</v>
      </c>
      <c r="BG57" s="22" t="e">
        <f t="shared" si="3"/>
        <v>#DIV/0!</v>
      </c>
      <c r="BH57" s="22"/>
      <c r="BI57" s="22"/>
      <c r="BJ57" s="22"/>
      <c r="BK57" s="21"/>
      <c r="BL57" s="29"/>
      <c r="BM57" s="29"/>
      <c r="BN57" s="25"/>
      <c r="BO57" s="29"/>
      <c r="BP57" s="22"/>
      <c r="BQ57" s="22" t="e">
        <f t="shared" si="9"/>
        <v>#DIV/0!</v>
      </c>
      <c r="BR57" s="22"/>
      <c r="BS57" s="22" t="e">
        <f t="shared" si="10"/>
        <v>#DIV/0!</v>
      </c>
      <c r="BT57" s="22" t="e">
        <f t="shared" si="11"/>
        <v>#DIV/0!</v>
      </c>
      <c r="BU57" s="22"/>
      <c r="BV57" s="22" t="e">
        <f t="shared" si="12"/>
        <v>#DIV/0!</v>
      </c>
      <c r="BW57" s="22" t="e">
        <f t="shared" si="13"/>
        <v>#DIV/0!</v>
      </c>
      <c r="BX57" s="22"/>
      <c r="BY57" s="22" t="e">
        <f t="shared" si="14"/>
        <v>#DIV/0!</v>
      </c>
    </row>
    <row r="58" spans="1:77" ht="22.5" hidden="1" customHeight="1" x14ac:dyDescent="0.25">
      <c r="A58" s="11" t="s">
        <v>170</v>
      </c>
      <c r="B58" s="38" t="s">
        <v>171</v>
      </c>
      <c r="C58" s="22">
        <v>20</v>
      </c>
      <c r="D58" s="22">
        <v>0</v>
      </c>
      <c r="E58" s="22">
        <v>0</v>
      </c>
      <c r="F58" s="22">
        <v>0</v>
      </c>
      <c r="G58" s="22">
        <v>0</v>
      </c>
      <c r="H58" s="22">
        <v>15.5</v>
      </c>
      <c r="I58" s="22">
        <v>15.54102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9.0730000000000004</v>
      </c>
      <c r="Q58" s="22">
        <v>9.0730000000000004</v>
      </c>
      <c r="R58" s="22">
        <v>0</v>
      </c>
      <c r="S58" s="22">
        <v>19.3</v>
      </c>
      <c r="T58" s="22">
        <v>19.271999999999998</v>
      </c>
      <c r="U58" s="22">
        <v>89.619780000000006</v>
      </c>
      <c r="V58" s="22">
        <v>0</v>
      </c>
      <c r="W58" s="22">
        <v>83</v>
      </c>
      <c r="X58" s="22">
        <v>88.743709999999993</v>
      </c>
      <c r="Y58" s="22">
        <v>88.543710000000004</v>
      </c>
      <c r="Z58" s="22">
        <v>0</v>
      </c>
      <c r="AA58" s="22">
        <v>16.100000000000001</v>
      </c>
      <c r="AB58" s="22">
        <v>21.044139999999999</v>
      </c>
      <c r="AC58" s="22">
        <v>21.044139999999999</v>
      </c>
      <c r="AD58" s="22">
        <v>0</v>
      </c>
      <c r="AE58" s="22">
        <v>5</v>
      </c>
      <c r="AF58" s="22">
        <v>51.356879999999997</v>
      </c>
      <c r="AG58" s="22">
        <v>5.2</v>
      </c>
      <c r="AH58" s="22">
        <v>0</v>
      </c>
      <c r="AI58" s="22">
        <v>0</v>
      </c>
      <c r="AJ58" s="22">
        <v>0</v>
      </c>
      <c r="AK58" s="22"/>
      <c r="AL58" s="22"/>
      <c r="AM58" s="22"/>
      <c r="AN58" s="22">
        <v>0</v>
      </c>
      <c r="AO58" s="22">
        <v>0</v>
      </c>
      <c r="AP58" s="22">
        <v>0</v>
      </c>
      <c r="AQ58" s="22"/>
      <c r="AR58" s="22"/>
      <c r="AS58" s="22"/>
      <c r="AT58" s="22"/>
      <c r="AU58" s="22"/>
      <c r="AV58" s="22"/>
      <c r="AW58" s="22"/>
      <c r="AX58" s="22">
        <v>0</v>
      </c>
      <c r="AY58" s="22">
        <v>0</v>
      </c>
      <c r="AZ58" s="22">
        <v>0</v>
      </c>
      <c r="BA58" s="22"/>
      <c r="BB58" s="22">
        <v>0</v>
      </c>
      <c r="BC58" s="22"/>
      <c r="BD58" s="22"/>
      <c r="BE58" s="22"/>
      <c r="BF58" s="22">
        <v>-10</v>
      </c>
      <c r="BG58" s="22" t="e">
        <f t="shared" si="3"/>
        <v>#DIV/0!</v>
      </c>
      <c r="BH58" s="22">
        <v>0</v>
      </c>
      <c r="BI58" s="22">
        <v>0</v>
      </c>
      <c r="BJ58" s="22">
        <v>0</v>
      </c>
      <c r="BK58" s="21"/>
      <c r="BL58" s="29"/>
      <c r="BM58" s="29"/>
      <c r="BN58" s="25"/>
      <c r="BO58" s="29"/>
      <c r="BP58" s="22">
        <v>0</v>
      </c>
      <c r="BQ58" s="22" t="e">
        <f t="shared" si="9"/>
        <v>#DIV/0!</v>
      </c>
      <c r="BR58" s="22">
        <v>0</v>
      </c>
      <c r="BS58" s="22" t="e">
        <f t="shared" si="10"/>
        <v>#DIV/0!</v>
      </c>
      <c r="BT58" s="22" t="e">
        <f t="shared" si="11"/>
        <v>#DIV/0!</v>
      </c>
      <c r="BU58" s="22">
        <v>0</v>
      </c>
      <c r="BV58" s="22" t="e">
        <f t="shared" si="12"/>
        <v>#DIV/0!</v>
      </c>
      <c r="BW58" s="22" t="e">
        <f t="shared" si="13"/>
        <v>#DIV/0!</v>
      </c>
      <c r="BX58" s="22">
        <v>0</v>
      </c>
      <c r="BY58" s="22" t="e">
        <f t="shared" si="14"/>
        <v>#DIV/0!</v>
      </c>
    </row>
    <row r="59" spans="1:77" ht="33.75" hidden="1" customHeight="1" x14ac:dyDescent="0.25">
      <c r="A59" s="11" t="s">
        <v>172</v>
      </c>
      <c r="B59" s="38" t="s">
        <v>173</v>
      </c>
      <c r="C59" s="22">
        <v>30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53</v>
      </c>
      <c r="Q59" s="22">
        <v>53</v>
      </c>
      <c r="R59" s="22">
        <v>0</v>
      </c>
      <c r="S59" s="22">
        <v>30</v>
      </c>
      <c r="T59" s="22">
        <v>30</v>
      </c>
      <c r="U59" s="22">
        <v>30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60</v>
      </c>
      <c r="AF59" s="22">
        <v>60</v>
      </c>
      <c r="AG59" s="22">
        <v>106.15688</v>
      </c>
      <c r="AH59" s="22">
        <v>0</v>
      </c>
      <c r="AI59" s="22">
        <v>0</v>
      </c>
      <c r="AJ59" s="22">
        <v>0</v>
      </c>
      <c r="AK59" s="22">
        <v>102.8</v>
      </c>
      <c r="AL59" s="22">
        <v>102.82123</v>
      </c>
      <c r="AM59" s="22">
        <v>45.649410000000003</v>
      </c>
      <c r="AN59" s="22">
        <v>0</v>
      </c>
      <c r="AO59" s="22">
        <v>0</v>
      </c>
      <c r="AP59" s="22">
        <v>0</v>
      </c>
      <c r="AQ59" s="22"/>
      <c r="AR59" s="22"/>
      <c r="AS59" s="22"/>
      <c r="AT59" s="22">
        <v>447.5</v>
      </c>
      <c r="AU59" s="22">
        <v>95.5</v>
      </c>
      <c r="AV59" s="22">
        <v>110.18727</v>
      </c>
      <c r="AW59" s="22">
        <v>97.011309999999995</v>
      </c>
      <c r="AX59" s="22">
        <v>0</v>
      </c>
      <c r="AY59" s="22">
        <v>0</v>
      </c>
      <c r="AZ59" s="22">
        <v>0</v>
      </c>
      <c r="BA59" s="22"/>
      <c r="BB59" s="22">
        <v>0</v>
      </c>
      <c r="BC59" s="22"/>
      <c r="BD59" s="22">
        <v>12.9</v>
      </c>
      <c r="BE59" s="22">
        <v>12.93243</v>
      </c>
      <c r="BF59" s="22">
        <v>28.94529</v>
      </c>
      <c r="BG59" s="22">
        <f t="shared" si="3"/>
        <v>11.736773222532875</v>
      </c>
      <c r="BH59" s="22">
        <v>0</v>
      </c>
      <c r="BI59" s="22">
        <v>0</v>
      </c>
      <c r="BJ59" s="22">
        <v>0</v>
      </c>
      <c r="BK59" s="21">
        <v>14.2</v>
      </c>
      <c r="BL59" s="29">
        <v>14.2</v>
      </c>
      <c r="BM59" s="29"/>
      <c r="BN59" s="25"/>
      <c r="BO59" s="29"/>
      <c r="BP59" s="22">
        <v>14.2</v>
      </c>
      <c r="BQ59" s="22">
        <f t="shared" si="9"/>
        <v>109.80148355722783</v>
      </c>
      <c r="BR59" s="22">
        <v>0</v>
      </c>
      <c r="BS59" s="22">
        <f t="shared" si="10"/>
        <v>0</v>
      </c>
      <c r="BT59" s="22" t="e">
        <f t="shared" si="11"/>
        <v>#DIV/0!</v>
      </c>
      <c r="BU59" s="22">
        <v>0</v>
      </c>
      <c r="BV59" s="22" t="e">
        <f t="shared" si="12"/>
        <v>#DIV/0!</v>
      </c>
      <c r="BW59" s="22" t="e">
        <f t="shared" si="13"/>
        <v>#DIV/0!</v>
      </c>
      <c r="BX59" s="22">
        <v>0</v>
      </c>
      <c r="BY59" s="22" t="e">
        <f t="shared" si="14"/>
        <v>#DIV/0!</v>
      </c>
    </row>
    <row r="60" spans="1:77" ht="33.75" hidden="1" customHeight="1" x14ac:dyDescent="0.25">
      <c r="A60" s="11" t="s">
        <v>174</v>
      </c>
      <c r="B60" s="38" t="s">
        <v>175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>
        <v>-16.01286</v>
      </c>
      <c r="BG60" s="22"/>
      <c r="BH60" s="22"/>
      <c r="BI60" s="22"/>
      <c r="BJ60" s="22"/>
      <c r="BK60" s="21"/>
      <c r="BL60" s="29"/>
      <c r="BM60" s="29"/>
      <c r="BN60" s="25"/>
      <c r="BO60" s="29"/>
      <c r="BP60" s="22"/>
      <c r="BQ60" s="22" t="e">
        <f t="shared" si="9"/>
        <v>#DIV/0!</v>
      </c>
      <c r="BR60" s="22"/>
      <c r="BS60" s="22" t="e">
        <f t="shared" si="10"/>
        <v>#DIV/0!</v>
      </c>
      <c r="BT60" s="22" t="e">
        <f t="shared" si="11"/>
        <v>#DIV/0!</v>
      </c>
      <c r="BU60" s="22"/>
      <c r="BV60" s="22" t="e">
        <f t="shared" si="12"/>
        <v>#DIV/0!</v>
      </c>
      <c r="BW60" s="22" t="e">
        <f t="shared" si="13"/>
        <v>#DIV/0!</v>
      </c>
      <c r="BX60" s="22"/>
      <c r="BY60" s="22" t="e">
        <f t="shared" si="14"/>
        <v>#DIV/0!</v>
      </c>
    </row>
    <row r="61" spans="1:77" ht="22.5" hidden="1" customHeight="1" x14ac:dyDescent="0.25">
      <c r="A61" s="11" t="s">
        <v>176</v>
      </c>
      <c r="B61" s="38" t="s">
        <v>177</v>
      </c>
      <c r="C61" s="22"/>
      <c r="D61" s="22"/>
      <c r="E61" s="22"/>
      <c r="F61" s="22"/>
      <c r="G61" s="22"/>
      <c r="H61" s="22">
        <v>11.7</v>
      </c>
      <c r="I61" s="22">
        <v>11.7</v>
      </c>
      <c r="J61" s="22"/>
      <c r="K61" s="22">
        <v>0</v>
      </c>
      <c r="L61" s="22"/>
      <c r="M61" s="22">
        <v>0</v>
      </c>
      <c r="N61" s="22"/>
      <c r="O61" s="22"/>
      <c r="P61" s="22"/>
      <c r="Q61" s="22">
        <v>0</v>
      </c>
      <c r="R61" s="22"/>
      <c r="S61" s="22"/>
      <c r="T61" s="22"/>
      <c r="U61" s="22">
        <v>0</v>
      </c>
      <c r="V61" s="22"/>
      <c r="W61" s="22"/>
      <c r="X61" s="22"/>
      <c r="Y61" s="22">
        <v>0</v>
      </c>
      <c r="Z61" s="22"/>
      <c r="AA61" s="22"/>
      <c r="AB61" s="22"/>
      <c r="AC61" s="22">
        <v>0</v>
      </c>
      <c r="AD61" s="22"/>
      <c r="AE61" s="22"/>
      <c r="AF61" s="22"/>
      <c r="AG61" s="22">
        <v>0</v>
      </c>
      <c r="AH61" s="22"/>
      <c r="AI61" s="22"/>
      <c r="AJ61" s="22"/>
      <c r="AK61" s="22"/>
      <c r="AL61" s="22"/>
      <c r="AM61" s="22">
        <v>0</v>
      </c>
      <c r="AN61" s="22"/>
      <c r="AO61" s="22"/>
      <c r="AP61" s="22"/>
      <c r="AQ61" s="22"/>
      <c r="AR61" s="22"/>
      <c r="AS61" s="22"/>
      <c r="AT61" s="22"/>
      <c r="AU61" s="22"/>
      <c r="AV61" s="22"/>
      <c r="AW61" s="22">
        <v>0</v>
      </c>
      <c r="AX61" s="22"/>
      <c r="AY61" s="22"/>
      <c r="AZ61" s="22"/>
      <c r="BA61" s="22"/>
      <c r="BB61" s="22"/>
      <c r="BC61" s="22"/>
      <c r="BD61" s="22"/>
      <c r="BE61" s="22"/>
      <c r="BF61" s="22">
        <v>0</v>
      </c>
      <c r="BG61" s="22" t="e">
        <f t="shared" ref="BG61:BG123" si="51">BE61/AV61*100</f>
        <v>#DIV/0!</v>
      </c>
      <c r="BH61" s="22"/>
      <c r="BI61" s="22"/>
      <c r="BJ61" s="22"/>
      <c r="BK61" s="21"/>
      <c r="BL61" s="29"/>
      <c r="BM61" s="29"/>
      <c r="BN61" s="25"/>
      <c r="BO61" s="29"/>
      <c r="BP61" s="22"/>
      <c r="BQ61" s="22" t="e">
        <f t="shared" si="9"/>
        <v>#DIV/0!</v>
      </c>
      <c r="BR61" s="22"/>
      <c r="BS61" s="22" t="e">
        <f t="shared" si="10"/>
        <v>#DIV/0!</v>
      </c>
      <c r="BT61" s="22" t="e">
        <f t="shared" si="11"/>
        <v>#DIV/0!</v>
      </c>
      <c r="BU61" s="22"/>
      <c r="BV61" s="22" t="e">
        <f t="shared" si="12"/>
        <v>#DIV/0!</v>
      </c>
      <c r="BW61" s="22" t="e">
        <f t="shared" si="13"/>
        <v>#DIV/0!</v>
      </c>
      <c r="BX61" s="22"/>
      <c r="BY61" s="22" t="e">
        <f t="shared" si="14"/>
        <v>#DIV/0!</v>
      </c>
    </row>
    <row r="62" spans="1:77" ht="25.5" hidden="1" customHeight="1" x14ac:dyDescent="0.25">
      <c r="A62" s="11" t="s">
        <v>178</v>
      </c>
      <c r="B62" s="38" t="s">
        <v>179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>
        <v>360</v>
      </c>
      <c r="AV62" s="22">
        <v>360</v>
      </c>
      <c r="AW62" s="22">
        <v>360</v>
      </c>
      <c r="AX62" s="22"/>
      <c r="AY62" s="22"/>
      <c r="AZ62" s="22"/>
      <c r="BA62" s="22"/>
      <c r="BB62" s="22"/>
      <c r="BC62" s="22"/>
      <c r="BD62" s="22"/>
      <c r="BE62" s="22"/>
      <c r="BF62" s="22"/>
      <c r="BG62" s="22">
        <f t="shared" si="51"/>
        <v>0</v>
      </c>
      <c r="BH62" s="22"/>
      <c r="BI62" s="22"/>
      <c r="BJ62" s="22"/>
      <c r="BK62" s="21"/>
      <c r="BL62" s="29"/>
      <c r="BM62" s="29"/>
      <c r="BN62" s="25"/>
      <c r="BO62" s="29"/>
      <c r="BP62" s="22"/>
      <c r="BQ62" s="22" t="e">
        <f t="shared" si="9"/>
        <v>#DIV/0!</v>
      </c>
      <c r="BR62" s="22"/>
      <c r="BS62" s="22" t="e">
        <f t="shared" si="10"/>
        <v>#DIV/0!</v>
      </c>
      <c r="BT62" s="22" t="e">
        <f t="shared" si="11"/>
        <v>#DIV/0!</v>
      </c>
      <c r="BU62" s="22"/>
      <c r="BV62" s="22" t="e">
        <f t="shared" si="12"/>
        <v>#DIV/0!</v>
      </c>
      <c r="BW62" s="22" t="e">
        <f t="shared" si="13"/>
        <v>#DIV/0!</v>
      </c>
      <c r="BX62" s="22"/>
      <c r="BY62" s="22" t="e">
        <f t="shared" si="14"/>
        <v>#DIV/0!</v>
      </c>
    </row>
    <row r="63" spans="1:77" ht="22.5" hidden="1" customHeight="1" x14ac:dyDescent="0.25">
      <c r="A63" s="11"/>
      <c r="B63" s="38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 t="e">
        <f t="shared" si="51"/>
        <v>#DIV/0!</v>
      </c>
      <c r="BH63" s="22"/>
      <c r="BI63" s="22"/>
      <c r="BJ63" s="22"/>
      <c r="BK63" s="21"/>
      <c r="BL63" s="29"/>
      <c r="BM63" s="29"/>
      <c r="BN63" s="25"/>
      <c r="BO63" s="29"/>
      <c r="BP63" s="22"/>
      <c r="BQ63" s="22" t="e">
        <f t="shared" si="9"/>
        <v>#DIV/0!</v>
      </c>
      <c r="BR63" s="22"/>
      <c r="BS63" s="22" t="e">
        <f t="shared" si="10"/>
        <v>#DIV/0!</v>
      </c>
      <c r="BT63" s="22" t="e">
        <f t="shared" si="11"/>
        <v>#DIV/0!</v>
      </c>
      <c r="BU63" s="22"/>
      <c r="BV63" s="22" t="e">
        <f t="shared" si="12"/>
        <v>#DIV/0!</v>
      </c>
      <c r="BW63" s="22" t="e">
        <f t="shared" si="13"/>
        <v>#DIV/0!</v>
      </c>
      <c r="BX63" s="22"/>
      <c r="BY63" s="22" t="e">
        <f t="shared" si="14"/>
        <v>#DIV/0!</v>
      </c>
    </row>
    <row r="64" spans="1:77" s="37" customFormat="1" ht="21.75" customHeight="1" x14ac:dyDescent="0.25">
      <c r="A64" s="19" t="s">
        <v>180</v>
      </c>
      <c r="B64" s="40" t="s">
        <v>181</v>
      </c>
      <c r="C64" s="21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f>0.2/1000</f>
        <v>2.0000000000000001E-4</v>
      </c>
      <c r="M64" s="21">
        <f>0.2/1000</f>
        <v>2.0000000000000001E-4</v>
      </c>
      <c r="N64" s="21">
        <v>0</v>
      </c>
      <c r="O64" s="21">
        <v>0</v>
      </c>
      <c r="P64" s="21">
        <f>0.2/1000</f>
        <v>2.0000000000000001E-4</v>
      </c>
      <c r="Q64" s="21">
        <f>0.2/1000</f>
        <v>2.0000000000000001E-4</v>
      </c>
      <c r="R64" s="21">
        <v>0</v>
      </c>
      <c r="S64" s="21">
        <v>0</v>
      </c>
      <c r="T64" s="21">
        <f>0.2/1000</f>
        <v>2.0000000000000001E-4</v>
      </c>
      <c r="U64" s="21">
        <f>0.2/1000</f>
        <v>2.0000000000000001E-4</v>
      </c>
      <c r="V64" s="21">
        <v>0</v>
      </c>
      <c r="W64" s="21">
        <v>0</v>
      </c>
      <c r="X64" s="21">
        <f>0.2/1000</f>
        <v>2.0000000000000001E-4</v>
      </c>
      <c r="Y64" s="21">
        <f>0.2/1000</f>
        <v>2.0000000000000001E-4</v>
      </c>
      <c r="Z64" s="21">
        <v>0</v>
      </c>
      <c r="AA64" s="21">
        <v>0</v>
      </c>
      <c r="AB64" s="21">
        <v>37.012889999999999</v>
      </c>
      <c r="AC64" s="21">
        <v>37.012889999999999</v>
      </c>
      <c r="AD64" s="21">
        <v>0</v>
      </c>
      <c r="AE64" s="21">
        <v>0</v>
      </c>
      <c r="AF64" s="21">
        <v>-37.012889999999999</v>
      </c>
      <c r="AG64" s="21">
        <v>-37.012889999999999</v>
      </c>
      <c r="AH64" s="21">
        <v>0</v>
      </c>
      <c r="AI64" s="21">
        <v>0</v>
      </c>
      <c r="AJ64" s="21">
        <v>0</v>
      </c>
      <c r="AK64" s="21">
        <v>0</v>
      </c>
      <c r="AL64" s="21">
        <v>4.1870000000000003</v>
      </c>
      <c r="AM64" s="21">
        <f>AM65</f>
        <v>79481.023929999996</v>
      </c>
      <c r="AN64" s="21"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-4.1870000000000003</v>
      </c>
      <c r="AW64" s="21"/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/>
      <c r="BD64" s="21"/>
      <c r="BE64" s="21">
        <v>8.4727399999999999</v>
      </c>
      <c r="BF64" s="21">
        <f>BF65</f>
        <v>935</v>
      </c>
      <c r="BG64" s="22">
        <f t="shared" si="51"/>
        <v>-202.35825173155004</v>
      </c>
      <c r="BH64" s="21">
        <v>0</v>
      </c>
      <c r="BI64" s="21">
        <v>0</v>
      </c>
      <c r="BJ64" s="21">
        <v>0</v>
      </c>
      <c r="BK64" s="21"/>
      <c r="BL64" s="29">
        <v>505.7</v>
      </c>
      <c r="BM64" s="29">
        <v>505.7</v>
      </c>
      <c r="BN64" s="25">
        <v>355.7</v>
      </c>
      <c r="BO64" s="29">
        <v>355.7</v>
      </c>
      <c r="BP64" s="21">
        <f>-8.5+355.7</f>
        <v>347.2</v>
      </c>
      <c r="BQ64" s="22">
        <f t="shared" si="9"/>
        <v>4097.8479216876713</v>
      </c>
      <c r="BR64" s="21"/>
      <c r="BS64" s="22"/>
      <c r="BT64" s="22"/>
      <c r="BU64" s="21"/>
      <c r="BV64" s="22"/>
      <c r="BW64" s="22"/>
      <c r="BX64" s="21"/>
      <c r="BY64" s="22"/>
    </row>
    <row r="65" spans="1:77" s="37" customFormat="1" ht="22.5" hidden="1" customHeight="1" x14ac:dyDescent="0.25">
      <c r="A65" s="19" t="s">
        <v>182</v>
      </c>
      <c r="B65" s="4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>
        <v>79481.023929999996</v>
      </c>
      <c r="AN65" s="21"/>
      <c r="AO65" s="21"/>
      <c r="AP65" s="21"/>
      <c r="AQ65" s="21"/>
      <c r="AR65" s="21"/>
      <c r="AS65" s="21"/>
      <c r="AT65" s="21"/>
      <c r="AU65" s="21"/>
      <c r="AV65" s="21"/>
      <c r="AW65" s="21">
        <v>79481.023929999996</v>
      </c>
      <c r="AX65" s="21"/>
      <c r="AY65" s="21"/>
      <c r="AZ65" s="21"/>
      <c r="BA65" s="21"/>
      <c r="BB65" s="21"/>
      <c r="BC65" s="21"/>
      <c r="BD65" s="21"/>
      <c r="BE65" s="21"/>
      <c r="BF65" s="21">
        <v>935</v>
      </c>
      <c r="BG65" s="22" t="e">
        <f t="shared" si="51"/>
        <v>#DIV/0!</v>
      </c>
      <c r="BH65" s="21"/>
      <c r="BI65" s="21"/>
      <c r="BJ65" s="21"/>
      <c r="BK65" s="21"/>
      <c r="BL65" s="29"/>
      <c r="BM65" s="29"/>
      <c r="BN65" s="25"/>
      <c r="BO65" s="29"/>
      <c r="BP65" s="21"/>
      <c r="BQ65" s="22" t="e">
        <f t="shared" si="9"/>
        <v>#DIV/0!</v>
      </c>
      <c r="BR65" s="21"/>
      <c r="BS65" s="22" t="e">
        <f t="shared" si="10"/>
        <v>#DIV/0!</v>
      </c>
      <c r="BT65" s="22" t="e">
        <f t="shared" si="11"/>
        <v>#DIV/0!</v>
      </c>
      <c r="BU65" s="21"/>
      <c r="BV65" s="22" t="e">
        <f t="shared" si="12"/>
        <v>#DIV/0!</v>
      </c>
      <c r="BW65" s="22" t="e">
        <f t="shared" si="13"/>
        <v>#DIV/0!</v>
      </c>
      <c r="BX65" s="21"/>
      <c r="BY65" s="22" t="e">
        <f t="shared" si="14"/>
        <v>#DIV/0!</v>
      </c>
    </row>
    <row r="66" spans="1:77" ht="22.5" customHeight="1" x14ac:dyDescent="0.25">
      <c r="A66" s="19" t="s">
        <v>183</v>
      </c>
      <c r="B66" s="20" t="s">
        <v>184</v>
      </c>
      <c r="C66" s="21">
        <f t="shared" ref="C66:BF66" si="52">C68+C122+C117</f>
        <v>31417.117000000002</v>
      </c>
      <c r="D66" s="21">
        <f t="shared" si="52"/>
        <v>25706.600000000002</v>
      </c>
      <c r="E66" s="21">
        <f t="shared" si="52"/>
        <v>50784.3</v>
      </c>
      <c r="F66" s="21">
        <f t="shared" si="52"/>
        <v>47549.112650000003</v>
      </c>
      <c r="G66" s="21">
        <f t="shared" si="52"/>
        <v>27846.400000000001</v>
      </c>
      <c r="H66" s="21">
        <f t="shared" si="52"/>
        <v>37875.700000000004</v>
      </c>
      <c r="I66" s="21">
        <f t="shared" si="52"/>
        <v>37873.657959999997</v>
      </c>
      <c r="J66" s="21">
        <f t="shared" si="52"/>
        <v>28847.9</v>
      </c>
      <c r="K66" s="21">
        <f t="shared" si="52"/>
        <v>36280.5</v>
      </c>
      <c r="L66" s="21">
        <f t="shared" si="52"/>
        <v>36267.998719999996</v>
      </c>
      <c r="M66" s="21">
        <f t="shared" si="52"/>
        <v>142383.83863000001</v>
      </c>
      <c r="N66" s="21">
        <f t="shared" si="52"/>
        <v>29131.300000000003</v>
      </c>
      <c r="O66" s="21">
        <f t="shared" si="52"/>
        <v>42550.9</v>
      </c>
      <c r="P66" s="21">
        <f t="shared" si="52"/>
        <v>42159.500910000002</v>
      </c>
      <c r="Q66" s="21">
        <f t="shared" si="52"/>
        <v>194224.14927000002</v>
      </c>
      <c r="R66" s="21">
        <f t="shared" si="52"/>
        <v>41274.400000000001</v>
      </c>
      <c r="S66" s="21">
        <f t="shared" si="52"/>
        <v>43804.2</v>
      </c>
      <c r="T66" s="21">
        <f t="shared" si="52"/>
        <v>43804.127990000001</v>
      </c>
      <c r="U66" s="21">
        <f t="shared" si="52"/>
        <v>118346.59461</v>
      </c>
      <c r="V66" s="21">
        <f t="shared" si="52"/>
        <v>29644.3</v>
      </c>
      <c r="W66" s="21">
        <f t="shared" si="52"/>
        <v>56685.3</v>
      </c>
      <c r="X66" s="21">
        <f t="shared" si="52"/>
        <v>56600.923360000001</v>
      </c>
      <c r="Y66" s="21">
        <f t="shared" si="52"/>
        <v>196067.09779999999</v>
      </c>
      <c r="Z66" s="21">
        <f t="shared" si="52"/>
        <v>28989</v>
      </c>
      <c r="AA66" s="21">
        <f t="shared" si="52"/>
        <v>37510.14</v>
      </c>
      <c r="AB66" s="21">
        <f t="shared" si="52"/>
        <v>37510.149740000001</v>
      </c>
      <c r="AC66" s="21">
        <f t="shared" si="52"/>
        <v>210541.60527</v>
      </c>
      <c r="AD66" s="21">
        <f t="shared" si="52"/>
        <v>29590.899999999998</v>
      </c>
      <c r="AE66" s="21">
        <f t="shared" si="52"/>
        <v>39042.899999999994</v>
      </c>
      <c r="AF66" s="21">
        <f t="shared" si="52"/>
        <v>39042.954549999995</v>
      </c>
      <c r="AG66" s="21">
        <f t="shared" si="52"/>
        <v>98672.852529999989</v>
      </c>
      <c r="AH66" s="21">
        <f t="shared" si="52"/>
        <v>32823.700000000004</v>
      </c>
      <c r="AI66" s="21">
        <f t="shared" si="52"/>
        <v>32024</v>
      </c>
      <c r="AJ66" s="21">
        <f t="shared" si="52"/>
        <v>32001.1</v>
      </c>
      <c r="AK66" s="21">
        <f t="shared" si="52"/>
        <v>78336.299999999988</v>
      </c>
      <c r="AL66" s="21">
        <f t="shared" si="52"/>
        <v>78336.312600000005</v>
      </c>
      <c r="AM66" s="21">
        <f t="shared" si="52"/>
        <v>165717.15621000002</v>
      </c>
      <c r="AN66" s="21">
        <f t="shared" si="52"/>
        <v>29090.100000000002</v>
      </c>
      <c r="AO66" s="21">
        <f t="shared" si="52"/>
        <v>29090.100000000002</v>
      </c>
      <c r="AP66" s="21">
        <f t="shared" si="52"/>
        <v>29090.100000000002</v>
      </c>
      <c r="AQ66" s="21">
        <f t="shared" si="52"/>
        <v>43318</v>
      </c>
      <c r="AR66" s="21">
        <f t="shared" si="52"/>
        <v>47445.8</v>
      </c>
      <c r="AS66" s="21">
        <f t="shared" si="52"/>
        <v>41408.5</v>
      </c>
      <c r="AT66" s="21">
        <f t="shared" si="52"/>
        <v>44033.200000000004</v>
      </c>
      <c r="AU66" s="21">
        <f t="shared" si="52"/>
        <v>50260.200000000004</v>
      </c>
      <c r="AV66" s="21">
        <f t="shared" si="52"/>
        <v>50071.069930000005</v>
      </c>
      <c r="AW66" s="21">
        <f t="shared" si="52"/>
        <v>88112.027549999999</v>
      </c>
      <c r="AX66" s="21">
        <f t="shared" si="52"/>
        <v>41406.800000000003</v>
      </c>
      <c r="AY66" s="21">
        <f t="shared" si="52"/>
        <v>25606.200000000004</v>
      </c>
      <c r="AZ66" s="21">
        <f t="shared" si="52"/>
        <v>25562.5</v>
      </c>
      <c r="BA66" s="21">
        <f t="shared" si="52"/>
        <v>45206.100000000006</v>
      </c>
      <c r="BB66" s="21">
        <f t="shared" si="52"/>
        <v>50765.900000000009</v>
      </c>
      <c r="BC66" s="21">
        <f t="shared" si="52"/>
        <v>38049.800000000003</v>
      </c>
      <c r="BD66" s="21">
        <f t="shared" si="52"/>
        <v>62120.4</v>
      </c>
      <c r="BE66" s="21">
        <f t="shared" si="52"/>
        <v>62115.89837000001</v>
      </c>
      <c r="BF66" s="21">
        <f t="shared" si="52"/>
        <v>126366.49091000001</v>
      </c>
      <c r="BG66" s="22">
        <f t="shared" si="51"/>
        <v>124.0554644764708</v>
      </c>
      <c r="BH66" s="21">
        <f t="shared" ref="BH66:BP66" si="53">BH68+BH122+BH117</f>
        <v>38065.300000000003</v>
      </c>
      <c r="BI66" s="21">
        <f t="shared" si="53"/>
        <v>30087.200000000001</v>
      </c>
      <c r="BJ66" s="21">
        <f t="shared" si="53"/>
        <v>29835.5</v>
      </c>
      <c r="BK66" s="23">
        <f t="shared" si="53"/>
        <v>40148.5</v>
      </c>
      <c r="BL66" s="24">
        <f t="shared" si="53"/>
        <v>59801.4</v>
      </c>
      <c r="BM66" s="24">
        <f t="shared" si="53"/>
        <v>60999.100000000006</v>
      </c>
      <c r="BN66" s="25">
        <f t="shared" si="53"/>
        <v>66258.8</v>
      </c>
      <c r="BO66" s="24">
        <f t="shared" si="53"/>
        <v>68684.800000000003</v>
      </c>
      <c r="BP66" s="21">
        <f t="shared" si="53"/>
        <v>68788.100000000006</v>
      </c>
      <c r="BQ66" s="22">
        <f t="shared" si="9"/>
        <v>110.74153607222472</v>
      </c>
      <c r="BR66" s="21">
        <f>BR68+BR122+BR117</f>
        <v>40054.199999999997</v>
      </c>
      <c r="BS66" s="22">
        <f t="shared" si="10"/>
        <v>58.228385432945515</v>
      </c>
      <c r="BT66" s="22">
        <f t="shared" si="11"/>
        <v>133.12704405860299</v>
      </c>
      <c r="BU66" s="21">
        <f>BU68+BU122+BU117</f>
        <v>29155.5</v>
      </c>
      <c r="BV66" s="22">
        <f t="shared" si="12"/>
        <v>72.790119388228959</v>
      </c>
      <c r="BW66" s="22">
        <f t="shared" si="13"/>
        <v>97.72083591694458</v>
      </c>
      <c r="BX66" s="21">
        <f>BX68+BX122+BX117</f>
        <v>28671.9</v>
      </c>
      <c r="BY66" s="22">
        <f t="shared" si="14"/>
        <v>98.341307814992035</v>
      </c>
    </row>
    <row r="67" spans="1:77" ht="16.5" customHeight="1" x14ac:dyDescent="0.25">
      <c r="A67" s="19"/>
      <c r="B67" s="20" t="s">
        <v>82</v>
      </c>
      <c r="C67" s="21">
        <f t="shared" ref="C67:BF67" si="54">C66/C123*100</f>
        <v>66.060602194579047</v>
      </c>
      <c r="D67" s="21">
        <f t="shared" si="54"/>
        <v>65.780100103378743</v>
      </c>
      <c r="E67" s="21">
        <f t="shared" si="54"/>
        <v>77.613502811302666</v>
      </c>
      <c r="F67" s="21">
        <f t="shared" si="54"/>
        <v>77.551368705999593</v>
      </c>
      <c r="G67" s="21">
        <f t="shared" si="54"/>
        <v>64.598474954125678</v>
      </c>
      <c r="H67" s="21">
        <f t="shared" si="54"/>
        <v>71.280407706986949</v>
      </c>
      <c r="I67" s="21">
        <f t="shared" si="54"/>
        <v>72.385512978301577</v>
      </c>
      <c r="J67" s="21">
        <f t="shared" si="54"/>
        <v>66.432466539549196</v>
      </c>
      <c r="K67" s="21">
        <f t="shared" si="54"/>
        <v>71.338262186129739</v>
      </c>
      <c r="L67" s="21">
        <f t="shared" si="54"/>
        <v>72.165057943186099</v>
      </c>
      <c r="M67" s="21">
        <f t="shared" si="54"/>
        <v>91.059115308198272</v>
      </c>
      <c r="N67" s="21">
        <f t="shared" si="54"/>
        <v>65.77354409430508</v>
      </c>
      <c r="O67" s="21">
        <f t="shared" si="54"/>
        <v>74.899183079303441</v>
      </c>
      <c r="P67" s="21">
        <f t="shared" si="54"/>
        <v>76.195981787984721</v>
      </c>
      <c r="Q67" s="21">
        <f t="shared" si="54"/>
        <v>118.79579633903872</v>
      </c>
      <c r="R67" s="21">
        <f t="shared" si="54"/>
        <v>75.147657507410187</v>
      </c>
      <c r="S67" s="21">
        <f t="shared" si="54"/>
        <v>74.00108119066121</v>
      </c>
      <c r="T67" s="21">
        <f t="shared" si="54"/>
        <v>73.924579453938506</v>
      </c>
      <c r="U67" s="21">
        <f t="shared" si="54"/>
        <v>94.487312627188729</v>
      </c>
      <c r="V67" s="21">
        <f t="shared" si="54"/>
        <v>61.246906113962197</v>
      </c>
      <c r="W67" s="21">
        <f t="shared" si="54"/>
        <v>74.804330010913446</v>
      </c>
      <c r="X67" s="21">
        <f t="shared" si="54"/>
        <v>74.618909519773041</v>
      </c>
      <c r="Y67" s="21">
        <f t="shared" si="54"/>
        <v>91.074967252064326</v>
      </c>
      <c r="Z67" s="21">
        <f t="shared" si="54"/>
        <v>61.187011547924584</v>
      </c>
      <c r="AA67" s="21">
        <f t="shared" si="54"/>
        <v>64.627594139534438</v>
      </c>
      <c r="AB67" s="21">
        <f t="shared" si="54"/>
        <v>63.130730125005428</v>
      </c>
      <c r="AC67" s="21">
        <f t="shared" si="54"/>
        <v>89.726644295680927</v>
      </c>
      <c r="AD67" s="21">
        <f t="shared" si="54"/>
        <v>59.600070901665028</v>
      </c>
      <c r="AE67" s="21">
        <f t="shared" si="54"/>
        <v>63.892470936321729</v>
      </c>
      <c r="AF67" s="21">
        <f t="shared" si="54"/>
        <v>63.363031124362692</v>
      </c>
      <c r="AG67" s="21">
        <f t="shared" si="54"/>
        <v>110.55898125185561</v>
      </c>
      <c r="AH67" s="21">
        <f t="shared" si="54"/>
        <v>60.547594754965459</v>
      </c>
      <c r="AI67" s="21">
        <f t="shared" si="54"/>
        <v>60.078266075639732</v>
      </c>
      <c r="AJ67" s="21">
        <f t="shared" si="54"/>
        <v>60.020554071198553</v>
      </c>
      <c r="AK67" s="21">
        <f t="shared" si="54"/>
        <v>77.633022449628811</v>
      </c>
      <c r="AL67" s="21">
        <f t="shared" si="54"/>
        <v>77.574925266457058</v>
      </c>
      <c r="AM67" s="21">
        <f t="shared" si="54"/>
        <v>61.860531634428703</v>
      </c>
      <c r="AN67" s="21">
        <f t="shared" si="54"/>
        <v>55.978022350418058</v>
      </c>
      <c r="AO67" s="21">
        <f t="shared" si="54"/>
        <v>55.971559992633956</v>
      </c>
      <c r="AP67" s="21">
        <f t="shared" si="54"/>
        <v>55.965099126765629</v>
      </c>
      <c r="AQ67" s="21">
        <f t="shared" si="54"/>
        <v>64.90229745562857</v>
      </c>
      <c r="AR67" s="21">
        <f t="shared" si="54"/>
        <v>66.822435171570703</v>
      </c>
      <c r="AS67" s="21">
        <f t="shared" si="54"/>
        <v>63.001608189136427</v>
      </c>
      <c r="AT67" s="21">
        <f t="shared" si="54"/>
        <v>63.804765520399229</v>
      </c>
      <c r="AU67" s="21">
        <f t="shared" si="54"/>
        <v>65.911818049484808</v>
      </c>
      <c r="AV67" s="21">
        <f t="shared" si="54"/>
        <v>64.628134249696387</v>
      </c>
      <c r="AW67" s="21">
        <f t="shared" si="54"/>
        <v>82.11832192797506</v>
      </c>
      <c r="AX67" s="21">
        <f t="shared" si="54"/>
        <v>62.466318598973245</v>
      </c>
      <c r="AY67" s="21">
        <f t="shared" si="54"/>
        <v>50.266976681835573</v>
      </c>
      <c r="AZ67" s="21">
        <f t="shared" si="54"/>
        <v>50.165138228497376</v>
      </c>
      <c r="BA67" s="21">
        <f t="shared" si="54"/>
        <v>63.489395050180754</v>
      </c>
      <c r="BB67" s="21">
        <f t="shared" si="54"/>
        <v>65.268158471596365</v>
      </c>
      <c r="BC67" s="21">
        <f t="shared" si="54"/>
        <v>56.610690475517423</v>
      </c>
      <c r="BD67" s="21">
        <f t="shared" si="54"/>
        <v>66.989317580376962</v>
      </c>
      <c r="BE67" s="21">
        <f t="shared" si="54"/>
        <v>66.254524646070507</v>
      </c>
      <c r="BF67" s="21">
        <f t="shared" si="54"/>
        <v>95.711513887531808</v>
      </c>
      <c r="BG67" s="22"/>
      <c r="BH67" s="21">
        <f t="shared" ref="BH67:BP67" si="55">BH66/BH123*100</f>
        <v>58.500078108322938</v>
      </c>
      <c r="BI67" s="21">
        <f t="shared" si="55"/>
        <v>52.287734350481287</v>
      </c>
      <c r="BJ67" s="21">
        <f t="shared" si="55"/>
        <v>51.828604461068053</v>
      </c>
      <c r="BK67" s="23">
        <f t="shared" si="55"/>
        <v>59.325627855568101</v>
      </c>
      <c r="BL67" s="24">
        <f t="shared" si="55"/>
        <v>68.085033711549357</v>
      </c>
      <c r="BM67" s="24">
        <f t="shared" si="55"/>
        <v>68.454246638678569</v>
      </c>
      <c r="BN67" s="25">
        <f t="shared" si="55"/>
        <v>68.969221433099364</v>
      </c>
      <c r="BO67" s="24">
        <f t="shared" si="55"/>
        <v>68.397462261041369</v>
      </c>
      <c r="BP67" s="21">
        <f t="shared" si="55"/>
        <v>67.243712307827508</v>
      </c>
      <c r="BQ67" s="22"/>
      <c r="BR67" s="21">
        <f>BR66/BR123*100</f>
        <v>55.442251128606671</v>
      </c>
      <c r="BS67" s="22"/>
      <c r="BT67" s="22"/>
      <c r="BU67" s="21">
        <f>BU66/BU123*100</f>
        <v>46.931060661942276</v>
      </c>
      <c r="BV67" s="22"/>
      <c r="BW67" s="22"/>
      <c r="BX67" s="21">
        <f>BX66/BX123*100</f>
        <v>46.096597202326699</v>
      </c>
      <c r="BY67" s="22"/>
    </row>
    <row r="68" spans="1:77" ht="27.75" customHeight="1" x14ac:dyDescent="0.25">
      <c r="A68" s="19" t="s">
        <v>185</v>
      </c>
      <c r="B68" s="20" t="s">
        <v>186</v>
      </c>
      <c r="C68" s="21">
        <f t="shared" ref="C68:L68" si="56">C71+C86+C74+C90</f>
        <v>31417.117000000002</v>
      </c>
      <c r="D68" s="21">
        <f t="shared" si="56"/>
        <v>25706.600000000002</v>
      </c>
      <c r="E68" s="21">
        <f t="shared" si="56"/>
        <v>50784.3</v>
      </c>
      <c r="F68" s="21">
        <f t="shared" si="56"/>
        <v>47549.112650000003</v>
      </c>
      <c r="G68" s="21">
        <f t="shared" si="56"/>
        <v>27846.400000000001</v>
      </c>
      <c r="H68" s="21">
        <f t="shared" si="56"/>
        <v>37875.700000000004</v>
      </c>
      <c r="I68" s="21">
        <f t="shared" si="56"/>
        <v>37873.657959999997</v>
      </c>
      <c r="J68" s="21">
        <f t="shared" si="56"/>
        <v>28847.9</v>
      </c>
      <c r="K68" s="21">
        <f t="shared" si="56"/>
        <v>36038</v>
      </c>
      <c r="L68" s="21">
        <f t="shared" si="56"/>
        <v>36025.459719999999</v>
      </c>
      <c r="M68" s="21">
        <f>M71+M86+M74+M90+M119+M116</f>
        <v>136433.37505</v>
      </c>
      <c r="N68" s="21">
        <f>N71+N86+N74+N90</f>
        <v>29131.300000000003</v>
      </c>
      <c r="O68" s="21">
        <f>O71+O86+O74+O90</f>
        <v>42450.9</v>
      </c>
      <c r="P68" s="21">
        <f>P71+P86+P74+P90</f>
        <v>42059.500910000002</v>
      </c>
      <c r="Q68" s="21">
        <f>Q71+Q86+Q74+Q90+Q119+Q116</f>
        <v>177430.27063000001</v>
      </c>
      <c r="R68" s="21">
        <f>R71+R86+R74+R90</f>
        <v>41274.400000000001</v>
      </c>
      <c r="S68" s="21">
        <f>S71+S86+S74+S90</f>
        <v>43754.2</v>
      </c>
      <c r="T68" s="21">
        <f>T71+T86+T74+T90</f>
        <v>43754.127990000001</v>
      </c>
      <c r="U68" s="21">
        <f>U71+U86+U74+U90+U119+U116</f>
        <v>117162.103</v>
      </c>
      <c r="V68" s="21">
        <f>V71+V86+V74+V90</f>
        <v>29644.3</v>
      </c>
      <c r="W68" s="21">
        <f>W71+W86+W74+W90</f>
        <v>56685.3</v>
      </c>
      <c r="X68" s="21">
        <f>X71+X86+X74+X90</f>
        <v>56600.923360000001</v>
      </c>
      <c r="Y68" s="21">
        <f>Y71+Y86+Y74+Y90+Y119+Y116</f>
        <v>196067.09779999999</v>
      </c>
      <c r="Z68" s="21">
        <f>Z71+Z86+Z74+Z90</f>
        <v>28989</v>
      </c>
      <c r="AA68" s="21">
        <f>AA71+AA86+AA74+AA90</f>
        <v>37510.14</v>
      </c>
      <c r="AB68" s="21">
        <f>AB71+AB86+AB74+AB90</f>
        <v>37510.149740000001</v>
      </c>
      <c r="AC68" s="21">
        <f>AC71+AC86+AC74+AC90+AC119+AC116</f>
        <v>45979.069750000002</v>
      </c>
      <c r="AD68" s="21">
        <f>AD71+AD86+AD74+AD90</f>
        <v>29590.899999999998</v>
      </c>
      <c r="AE68" s="21">
        <f>AE71+AE86+AE74+AE90</f>
        <v>39042.899999999994</v>
      </c>
      <c r="AF68" s="21">
        <f>AF71+AF86+AF74+AF90</f>
        <v>39042.954549999995</v>
      </c>
      <c r="AG68" s="21">
        <f>AG71+AG86+AG74+AG90+AG119+AG116+AG120</f>
        <v>98672.852529999989</v>
      </c>
      <c r="AH68" s="21">
        <f t="shared" ref="AH68:BB68" si="57">AH71+AH86+AH74+AH90</f>
        <v>32823.700000000004</v>
      </c>
      <c r="AI68" s="21">
        <f t="shared" si="57"/>
        <v>32024</v>
      </c>
      <c r="AJ68" s="21">
        <f t="shared" si="57"/>
        <v>32001.1</v>
      </c>
      <c r="AK68" s="21">
        <f t="shared" si="57"/>
        <v>77915.299999999988</v>
      </c>
      <c r="AL68" s="21">
        <f t="shared" si="57"/>
        <v>77915.312600000005</v>
      </c>
      <c r="AM68" s="21">
        <f t="shared" si="57"/>
        <v>77915.312600000005</v>
      </c>
      <c r="AN68" s="21">
        <f t="shared" si="57"/>
        <v>29090.100000000002</v>
      </c>
      <c r="AO68" s="21">
        <f t="shared" si="57"/>
        <v>29090.100000000002</v>
      </c>
      <c r="AP68" s="21">
        <f t="shared" si="57"/>
        <v>29090.100000000002</v>
      </c>
      <c r="AQ68" s="21">
        <f t="shared" si="57"/>
        <v>43788.7</v>
      </c>
      <c r="AR68" s="21">
        <f t="shared" si="57"/>
        <v>47916.5</v>
      </c>
      <c r="AS68" s="21">
        <f t="shared" si="57"/>
        <v>41879.199999999997</v>
      </c>
      <c r="AT68" s="21">
        <f t="shared" si="57"/>
        <v>44503.9</v>
      </c>
      <c r="AU68" s="21">
        <f t="shared" si="57"/>
        <v>50730.9</v>
      </c>
      <c r="AV68" s="21">
        <f t="shared" si="57"/>
        <v>50541.789810000002</v>
      </c>
      <c r="AW68" s="21">
        <f>AW71+AW86+AW74+AW90</f>
        <v>50541.789810000002</v>
      </c>
      <c r="AX68" s="21">
        <f t="shared" si="57"/>
        <v>41406.800000000003</v>
      </c>
      <c r="AY68" s="21">
        <f>AY71+AY86+AY74+AY90</f>
        <v>25606.200000000004</v>
      </c>
      <c r="AZ68" s="21">
        <f>AZ71+AZ86+AZ74+AZ90</f>
        <v>25562.5</v>
      </c>
      <c r="BA68" s="21">
        <f t="shared" si="57"/>
        <v>45206.100000000006</v>
      </c>
      <c r="BB68" s="21">
        <f t="shared" si="57"/>
        <v>50765.900000000009</v>
      </c>
      <c r="BC68" s="21">
        <f>BC71+BC86+BC74+BC90</f>
        <v>38049.800000000003</v>
      </c>
      <c r="BD68" s="21">
        <f>BD71+BD86+BD74+BD90</f>
        <v>62120.4</v>
      </c>
      <c r="BE68" s="21">
        <f t="shared" ref="BE68" si="58">BE71+BE86+BE74+BE90</f>
        <v>62115.89837000001</v>
      </c>
      <c r="BF68" s="21">
        <f>BF71+BF86+BF74+BF90</f>
        <v>62115.89837000001</v>
      </c>
      <c r="BG68" s="22">
        <f t="shared" si="51"/>
        <v>122.90007655745899</v>
      </c>
      <c r="BH68" s="21">
        <f t="shared" ref="BH68" si="59">BH71+BH86+BH74+BH90</f>
        <v>38065.300000000003</v>
      </c>
      <c r="BI68" s="21">
        <f>BI71+BI86+BI74+BI90</f>
        <v>30087.200000000001</v>
      </c>
      <c r="BJ68" s="21">
        <f>BJ71+BJ86+BJ74+BJ90</f>
        <v>29835.5</v>
      </c>
      <c r="BK68" s="23">
        <f>BK71+BK86+BK74+BK90</f>
        <v>40148.5</v>
      </c>
      <c r="BL68" s="24">
        <f>BL71+BL86+BL74+BL90</f>
        <v>59801.4</v>
      </c>
      <c r="BM68" s="24">
        <f>BM71+BM86+BM74+BM90</f>
        <v>60999.100000000006</v>
      </c>
      <c r="BN68" s="25">
        <f>BN71+BM86+BN74+BN90</f>
        <v>66258.8</v>
      </c>
      <c r="BO68" s="24">
        <f>BO71+BN86+BO74+BO90</f>
        <v>68684.800000000003</v>
      </c>
      <c r="BP68" s="21">
        <f t="shared" ref="BP68:BR68" si="60">BP71+BP86+BP74+BP90</f>
        <v>68788.100000000006</v>
      </c>
      <c r="BQ68" s="22">
        <f t="shared" si="9"/>
        <v>110.74153607222472</v>
      </c>
      <c r="BR68" s="21">
        <f t="shared" si="60"/>
        <v>40054.199999999997</v>
      </c>
      <c r="BS68" s="22">
        <f t="shared" si="10"/>
        <v>58.228385432945515</v>
      </c>
      <c r="BT68" s="22">
        <f t="shared" si="11"/>
        <v>133.12704405860299</v>
      </c>
      <c r="BU68" s="21">
        <f>BU71+BU86+BU74+BU90</f>
        <v>29155.5</v>
      </c>
      <c r="BV68" s="22">
        <f t="shared" si="12"/>
        <v>72.790119388228959</v>
      </c>
      <c r="BW68" s="22">
        <f t="shared" si="13"/>
        <v>97.72083591694458</v>
      </c>
      <c r="BX68" s="21">
        <f>BX71+BX86+BX74+BX90</f>
        <v>28671.9</v>
      </c>
      <c r="BY68" s="22">
        <f t="shared" si="14"/>
        <v>98.341307814992035</v>
      </c>
    </row>
    <row r="69" spans="1:77" ht="3" hidden="1" customHeight="1" x14ac:dyDescent="0.25">
      <c r="A69" s="19"/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2" t="e">
        <f t="shared" si="51"/>
        <v>#DIV/0!</v>
      </c>
      <c r="BH69" s="21"/>
      <c r="BI69" s="21"/>
      <c r="BJ69" s="21"/>
      <c r="BK69" s="21"/>
      <c r="BL69" s="29"/>
      <c r="BM69" s="29"/>
      <c r="BN69" s="25"/>
      <c r="BO69" s="29"/>
      <c r="BP69" s="21"/>
      <c r="BQ69" s="22" t="e">
        <f t="shared" si="9"/>
        <v>#DIV/0!</v>
      </c>
      <c r="BR69" s="21"/>
      <c r="BS69" s="22" t="e">
        <f t="shared" si="10"/>
        <v>#DIV/0!</v>
      </c>
      <c r="BT69" s="22" t="e">
        <f t="shared" si="11"/>
        <v>#DIV/0!</v>
      </c>
      <c r="BU69" s="21"/>
      <c r="BV69" s="22" t="e">
        <f t="shared" si="12"/>
        <v>#DIV/0!</v>
      </c>
      <c r="BW69" s="22" t="e">
        <f t="shared" si="13"/>
        <v>#DIV/0!</v>
      </c>
      <c r="BX69" s="21"/>
      <c r="BY69" s="22" t="e">
        <f t="shared" si="14"/>
        <v>#DIV/0!</v>
      </c>
    </row>
    <row r="70" spans="1:77" ht="40.5" hidden="1" customHeight="1" x14ac:dyDescent="0.25">
      <c r="A70" s="19"/>
      <c r="B70" s="20" t="s">
        <v>187</v>
      </c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>
        <f>AX68-AX71</f>
        <v>22262.400000000001</v>
      </c>
      <c r="AY70" s="21"/>
      <c r="AZ70" s="21"/>
      <c r="BA70" s="21">
        <f t="shared" ref="BA70:BD70" si="61">BA68-BA71</f>
        <v>26061.700000000004</v>
      </c>
      <c r="BB70" s="21">
        <f t="shared" si="61"/>
        <v>31621.500000000007</v>
      </c>
      <c r="BC70" s="21">
        <f t="shared" si="61"/>
        <v>18905.400000000001</v>
      </c>
      <c r="BD70" s="21">
        <f t="shared" si="61"/>
        <v>42976</v>
      </c>
      <c r="BE70" s="21"/>
      <c r="BF70" s="21"/>
      <c r="BG70" s="22" t="e">
        <f t="shared" si="51"/>
        <v>#DIV/0!</v>
      </c>
      <c r="BH70" s="21">
        <f>BH68-BH71</f>
        <v>17774.100000000002</v>
      </c>
      <c r="BI70" s="21"/>
      <c r="BJ70" s="21"/>
      <c r="BK70" s="23">
        <f>BK68-BK71</f>
        <v>19857.2</v>
      </c>
      <c r="BL70" s="24">
        <f>BL68-BL71</f>
        <v>39510.100000000006</v>
      </c>
      <c r="BM70" s="24">
        <f>BM68-BM71</f>
        <v>40707.800000000003</v>
      </c>
      <c r="BN70" s="25">
        <f>BO68-BO71</f>
        <v>48393.5</v>
      </c>
      <c r="BO70" s="24" t="e">
        <f>#REF!-#REF!</f>
        <v>#REF!</v>
      </c>
      <c r="BP70" s="21"/>
      <c r="BQ70" s="22" t="e">
        <f t="shared" si="9"/>
        <v>#DIV/0!</v>
      </c>
      <c r="BR70" s="21">
        <f>BR68-BR71</f>
        <v>23602.299999999996</v>
      </c>
      <c r="BS70" s="22" t="e">
        <f t="shared" si="10"/>
        <v>#DIV/0!</v>
      </c>
      <c r="BT70" s="22" t="e">
        <f t="shared" si="11"/>
        <v>#DIV/0!</v>
      </c>
      <c r="BU70" s="21"/>
      <c r="BV70" s="22">
        <f t="shared" si="12"/>
        <v>0</v>
      </c>
      <c r="BW70" s="22" t="e">
        <f t="shared" si="13"/>
        <v>#DIV/0!</v>
      </c>
      <c r="BX70" s="21"/>
      <c r="BY70" s="22" t="e">
        <f t="shared" si="14"/>
        <v>#DIV/0!</v>
      </c>
    </row>
    <row r="71" spans="1:77" ht="26.25" customHeight="1" x14ac:dyDescent="0.25">
      <c r="A71" s="19" t="s">
        <v>188</v>
      </c>
      <c r="B71" s="20" t="s">
        <v>189</v>
      </c>
      <c r="C71" s="21">
        <f t="shared" ref="C71:AP71" si="62">C72+C73</f>
        <v>21206.855</v>
      </c>
      <c r="D71" s="21">
        <f t="shared" si="62"/>
        <v>25108.7</v>
      </c>
      <c r="E71" s="21">
        <f t="shared" si="62"/>
        <v>33287.9</v>
      </c>
      <c r="F71" s="21">
        <f t="shared" si="62"/>
        <v>33287.9</v>
      </c>
      <c r="G71" s="21">
        <f t="shared" si="62"/>
        <v>23604.5</v>
      </c>
      <c r="H71" s="21">
        <f t="shared" si="62"/>
        <v>26760.300000000003</v>
      </c>
      <c r="I71" s="21">
        <f t="shared" si="62"/>
        <v>26760.332999999999</v>
      </c>
      <c r="J71" s="21">
        <f t="shared" si="62"/>
        <v>25129.9</v>
      </c>
      <c r="K71" s="21">
        <f t="shared" si="62"/>
        <v>30112.5</v>
      </c>
      <c r="L71" s="21">
        <f t="shared" si="62"/>
        <v>30112.464</v>
      </c>
      <c r="M71" s="21">
        <f t="shared" si="62"/>
        <v>30112.464</v>
      </c>
      <c r="N71" s="21">
        <f t="shared" si="62"/>
        <v>25388.9</v>
      </c>
      <c r="O71" s="21">
        <f t="shared" si="62"/>
        <v>24860.9</v>
      </c>
      <c r="P71" s="21">
        <f t="shared" si="62"/>
        <v>24860.94526</v>
      </c>
      <c r="Q71" s="21">
        <f t="shared" si="62"/>
        <v>24860.94526</v>
      </c>
      <c r="R71" s="21">
        <f t="shared" si="62"/>
        <v>24796.5</v>
      </c>
      <c r="S71" s="21">
        <f t="shared" si="62"/>
        <v>25519</v>
      </c>
      <c r="T71" s="21">
        <f t="shared" si="62"/>
        <v>25518.97</v>
      </c>
      <c r="U71" s="21">
        <f t="shared" si="62"/>
        <v>25518.97</v>
      </c>
      <c r="V71" s="21">
        <f t="shared" si="62"/>
        <v>25783.599999999999</v>
      </c>
      <c r="W71" s="21">
        <f t="shared" si="62"/>
        <v>31474.9</v>
      </c>
      <c r="X71" s="21">
        <f t="shared" si="62"/>
        <v>31474.9</v>
      </c>
      <c r="Y71" s="21">
        <f t="shared" si="62"/>
        <v>31474.9</v>
      </c>
      <c r="Z71" s="21">
        <f t="shared" si="62"/>
        <v>27116.9</v>
      </c>
      <c r="AA71" s="21">
        <f t="shared" si="62"/>
        <v>31645.3</v>
      </c>
      <c r="AB71" s="21">
        <f t="shared" si="62"/>
        <v>31645.343000000001</v>
      </c>
      <c r="AC71" s="21">
        <f t="shared" si="62"/>
        <v>31645.343000000001</v>
      </c>
      <c r="AD71" s="21">
        <f t="shared" si="62"/>
        <v>25631.699999999997</v>
      </c>
      <c r="AE71" s="21">
        <f t="shared" si="62"/>
        <v>26197.8</v>
      </c>
      <c r="AF71" s="21">
        <f t="shared" si="62"/>
        <v>26197.760999999999</v>
      </c>
      <c r="AG71" s="21">
        <f t="shared" si="62"/>
        <v>26197.760999999999</v>
      </c>
      <c r="AH71" s="21">
        <f t="shared" si="62"/>
        <v>25647.300000000003</v>
      </c>
      <c r="AI71" s="21">
        <f t="shared" si="62"/>
        <v>25499.599999999999</v>
      </c>
      <c r="AJ71" s="21">
        <f t="shared" si="62"/>
        <v>25463.600000000002</v>
      </c>
      <c r="AK71" s="21">
        <f t="shared" si="62"/>
        <v>25291.3</v>
      </c>
      <c r="AL71" s="21">
        <f t="shared" si="62"/>
        <v>25291.342000000001</v>
      </c>
      <c r="AM71" s="21">
        <f t="shared" si="62"/>
        <v>25291.342000000001</v>
      </c>
      <c r="AN71" s="21">
        <f t="shared" si="62"/>
        <v>26672.7</v>
      </c>
      <c r="AO71" s="21">
        <f t="shared" si="62"/>
        <v>26672.7</v>
      </c>
      <c r="AP71" s="21">
        <f t="shared" si="62"/>
        <v>26672.7</v>
      </c>
      <c r="AQ71" s="21">
        <v>27963.5</v>
      </c>
      <c r="AR71" s="21">
        <v>29963.4</v>
      </c>
      <c r="AS71" s="21">
        <v>18665.400000000001</v>
      </c>
      <c r="AT71" s="21">
        <f>AT72+AT73</f>
        <v>18665.400000000001</v>
      </c>
      <c r="AU71" s="21">
        <f>AU72+AU73</f>
        <v>18665.400000000001</v>
      </c>
      <c r="AV71" s="21">
        <f>AV72+AV73</f>
        <v>18665.400000000001</v>
      </c>
      <c r="AW71" s="21">
        <f>AW72+AW73</f>
        <v>18665.400000000001</v>
      </c>
      <c r="AX71" s="21">
        <f t="shared" ref="AX71" si="63">AX72+AX73</f>
        <v>19144.400000000001</v>
      </c>
      <c r="AY71" s="21">
        <f>AY72+AY73</f>
        <v>18640.7</v>
      </c>
      <c r="AZ71" s="21">
        <f>AZ72+AZ73</f>
        <v>19693.5</v>
      </c>
      <c r="BA71" s="21">
        <v>19144.400000000001</v>
      </c>
      <c r="BB71" s="21">
        <v>19144.400000000001</v>
      </c>
      <c r="BC71" s="21">
        <v>19144.400000000001</v>
      </c>
      <c r="BD71" s="21">
        <v>19144.400000000001</v>
      </c>
      <c r="BE71" s="21">
        <v>19144.400000000001</v>
      </c>
      <c r="BF71" s="21">
        <f>BF72+BF73</f>
        <v>19144.400000000001</v>
      </c>
      <c r="BG71" s="22">
        <f t="shared" si="51"/>
        <v>102.56624556666345</v>
      </c>
      <c r="BH71" s="21">
        <f t="shared" ref="BH71" si="64">BH72+BH73</f>
        <v>20291.2</v>
      </c>
      <c r="BI71" s="21">
        <f>BI72+BI73</f>
        <v>20162.5</v>
      </c>
      <c r="BJ71" s="21">
        <f>BJ72+BJ73</f>
        <v>20495.5</v>
      </c>
      <c r="BK71" s="23">
        <f>BK72+BK73</f>
        <v>20291.3</v>
      </c>
      <c r="BL71" s="24">
        <f>BL72+BL73</f>
        <v>20291.3</v>
      </c>
      <c r="BM71" s="24">
        <v>20291.3</v>
      </c>
      <c r="BN71" s="25">
        <v>20291.3</v>
      </c>
      <c r="BO71" s="24">
        <v>20291.3</v>
      </c>
      <c r="BP71" s="21">
        <f t="shared" ref="BP71:BR71" si="65">BP72+BP73</f>
        <v>20291.2</v>
      </c>
      <c r="BQ71" s="22">
        <f t="shared" si="9"/>
        <v>105.99026347130231</v>
      </c>
      <c r="BR71" s="21">
        <f t="shared" si="65"/>
        <v>16451.900000000001</v>
      </c>
      <c r="BS71" s="22">
        <f t="shared" si="10"/>
        <v>81.078989906954746</v>
      </c>
      <c r="BT71" s="22">
        <f t="shared" si="11"/>
        <v>81.596528208307504</v>
      </c>
      <c r="BU71" s="21">
        <f>BU72+BU73</f>
        <v>17546.8</v>
      </c>
      <c r="BV71" s="22">
        <f t="shared" si="12"/>
        <v>106.65515837076566</v>
      </c>
      <c r="BW71" s="22">
        <f t="shared" si="13"/>
        <v>85.612939425727603</v>
      </c>
      <c r="BX71" s="21">
        <f>BX72+BX73</f>
        <v>19261.5</v>
      </c>
      <c r="BY71" s="22">
        <f t="shared" si="14"/>
        <v>109.77215218729341</v>
      </c>
    </row>
    <row r="72" spans="1:77" ht="22.5" hidden="1" customHeight="1" x14ac:dyDescent="0.25">
      <c r="A72" s="11" t="s">
        <v>190</v>
      </c>
      <c r="B72" s="38" t="s">
        <v>191</v>
      </c>
      <c r="C72" s="22">
        <v>6110</v>
      </c>
      <c r="D72" s="22">
        <v>10578.6</v>
      </c>
      <c r="E72" s="22">
        <v>10703.5</v>
      </c>
      <c r="F72" s="22">
        <v>10703.5</v>
      </c>
      <c r="G72" s="22">
        <v>12391.2</v>
      </c>
      <c r="H72" s="22">
        <v>12391.2</v>
      </c>
      <c r="I72" s="22">
        <v>12391.2</v>
      </c>
      <c r="J72" s="22">
        <v>14496.7</v>
      </c>
      <c r="K72" s="22">
        <v>14496.7</v>
      </c>
      <c r="L72" s="22">
        <v>14496.7</v>
      </c>
      <c r="M72" s="22">
        <v>14496.7</v>
      </c>
      <c r="N72" s="22">
        <v>15368.7</v>
      </c>
      <c r="O72" s="22">
        <v>15368.7</v>
      </c>
      <c r="P72" s="22">
        <v>15368.7</v>
      </c>
      <c r="Q72" s="22">
        <v>15368.7</v>
      </c>
      <c r="R72" s="22">
        <v>15819.1</v>
      </c>
      <c r="S72" s="22">
        <v>16626.099999999999</v>
      </c>
      <c r="T72" s="22">
        <v>16626.099999999999</v>
      </c>
      <c r="U72" s="22">
        <v>16626.099999999999</v>
      </c>
      <c r="V72" s="22">
        <v>16306.4</v>
      </c>
      <c r="W72" s="22">
        <v>16306.4</v>
      </c>
      <c r="X72" s="22">
        <v>16306.4</v>
      </c>
      <c r="Y72" s="22">
        <v>31474.9</v>
      </c>
      <c r="Z72" s="22">
        <v>14866</v>
      </c>
      <c r="AA72" s="22">
        <v>14866</v>
      </c>
      <c r="AB72" s="22">
        <v>14866</v>
      </c>
      <c r="AC72" s="22">
        <v>14866</v>
      </c>
      <c r="AD72" s="22">
        <v>14625.8</v>
      </c>
      <c r="AE72" s="22">
        <v>14625.8</v>
      </c>
      <c r="AF72" s="22">
        <v>14625.8</v>
      </c>
      <c r="AG72" s="22">
        <v>14625.8</v>
      </c>
      <c r="AH72" s="22">
        <v>16895.900000000001</v>
      </c>
      <c r="AI72" s="22">
        <v>16793</v>
      </c>
      <c r="AJ72" s="22">
        <v>16811.400000000001</v>
      </c>
      <c r="AK72" s="22">
        <v>16996.5</v>
      </c>
      <c r="AL72" s="22">
        <v>16996.5</v>
      </c>
      <c r="AM72" s="22">
        <v>16996.5</v>
      </c>
      <c r="AN72" s="22">
        <v>18665.400000000001</v>
      </c>
      <c r="AO72" s="22">
        <v>18665.400000000001</v>
      </c>
      <c r="AP72" s="22">
        <v>18665.400000000001</v>
      </c>
      <c r="AQ72" s="22"/>
      <c r="AR72" s="22"/>
      <c r="AS72" s="22"/>
      <c r="AT72" s="22">
        <v>18665.400000000001</v>
      </c>
      <c r="AU72" s="22">
        <v>18665.400000000001</v>
      </c>
      <c r="AV72" s="22">
        <v>18665.400000000001</v>
      </c>
      <c r="AW72" s="22">
        <v>18665.400000000001</v>
      </c>
      <c r="AX72" s="22">
        <v>19144.400000000001</v>
      </c>
      <c r="AY72" s="22">
        <v>18640.7</v>
      </c>
      <c r="AZ72" s="22">
        <v>19693.5</v>
      </c>
      <c r="BA72" s="22">
        <v>19145.400000000001</v>
      </c>
      <c r="BB72" s="22">
        <v>19146.400000000001</v>
      </c>
      <c r="BC72" s="22">
        <v>19144.400000000001</v>
      </c>
      <c r="BD72" s="22">
        <v>19144.400000000001</v>
      </c>
      <c r="BE72" s="22">
        <v>19144.400000000001</v>
      </c>
      <c r="BF72" s="22">
        <v>19144.400000000001</v>
      </c>
      <c r="BG72" s="22">
        <f t="shared" si="51"/>
        <v>102.56624556666345</v>
      </c>
      <c r="BH72" s="22">
        <v>20291.2</v>
      </c>
      <c r="BI72" s="22">
        <v>20162.5</v>
      </c>
      <c r="BJ72" s="22">
        <v>20495.5</v>
      </c>
      <c r="BK72" s="21">
        <v>20291.3</v>
      </c>
      <c r="BL72" s="29">
        <v>20291.3</v>
      </c>
      <c r="BM72" s="29"/>
      <c r="BN72" s="25"/>
      <c r="BO72" s="29"/>
      <c r="BP72" s="22">
        <v>20291.2</v>
      </c>
      <c r="BQ72" s="22">
        <f t="shared" ref="BQ72:BQ124" si="66">BP72/BE72*100</f>
        <v>105.99026347130231</v>
      </c>
      <c r="BR72" s="22">
        <v>16451.900000000001</v>
      </c>
      <c r="BS72" s="22">
        <f t="shared" ref="BS72:BS124" si="67">BR72/BP72*100</f>
        <v>81.078989906954746</v>
      </c>
      <c r="BT72" s="22">
        <f t="shared" ref="BT72:BT124" si="68">BR72/BI72*100</f>
        <v>81.596528208307504</v>
      </c>
      <c r="BU72" s="22">
        <v>17546.8</v>
      </c>
      <c r="BV72" s="22">
        <f t="shared" ref="BV72:BV124" si="69">BU72/BR72*100</f>
        <v>106.65515837076566</v>
      </c>
      <c r="BW72" s="22">
        <f t="shared" ref="BW72:BW124" si="70">BU72/BJ72*100</f>
        <v>85.612939425727603</v>
      </c>
      <c r="BX72" s="22">
        <v>19261.5</v>
      </c>
      <c r="BY72" s="22">
        <f t="shared" ref="BY72:BY124" si="71">BX72/BU72*100</f>
        <v>109.77215218729341</v>
      </c>
    </row>
    <row r="73" spans="1:77" ht="22.5" hidden="1" customHeight="1" x14ac:dyDescent="0.25">
      <c r="A73" s="11" t="s">
        <v>192</v>
      </c>
      <c r="B73" s="38" t="s">
        <v>193</v>
      </c>
      <c r="C73" s="22">
        <v>15096.855</v>
      </c>
      <c r="D73" s="22">
        <v>14530.1</v>
      </c>
      <c r="E73" s="22">
        <v>22584.400000000001</v>
      </c>
      <c r="F73" s="22">
        <v>22584.400000000001</v>
      </c>
      <c r="G73" s="22">
        <v>11213.3</v>
      </c>
      <c r="H73" s="22">
        <v>14369.1</v>
      </c>
      <c r="I73" s="22">
        <v>14369.133</v>
      </c>
      <c r="J73" s="22">
        <v>10633.2</v>
      </c>
      <c r="K73" s="22">
        <v>15615.8</v>
      </c>
      <c r="L73" s="22">
        <v>15615.763999999999</v>
      </c>
      <c r="M73" s="22">
        <v>15615.763999999999</v>
      </c>
      <c r="N73" s="22">
        <v>10020.200000000001</v>
      </c>
      <c r="O73" s="22">
        <v>9492.2000000000007</v>
      </c>
      <c r="P73" s="22">
        <f>10878.37334-1386.12808</f>
        <v>9492.2452599999997</v>
      </c>
      <c r="Q73" s="22">
        <f>10878.37334-1386.12808</f>
        <v>9492.2452599999997</v>
      </c>
      <c r="R73" s="22">
        <v>8977.4</v>
      </c>
      <c r="S73" s="22">
        <v>8892.9</v>
      </c>
      <c r="T73" s="22">
        <v>8892.8700000000008</v>
      </c>
      <c r="U73" s="22">
        <v>8892.8700000000008</v>
      </c>
      <c r="V73" s="22">
        <v>9477.2000000000007</v>
      </c>
      <c r="W73" s="22">
        <v>15168.5</v>
      </c>
      <c r="X73" s="22">
        <v>15168.5</v>
      </c>
      <c r="Y73" s="22">
        <v>0</v>
      </c>
      <c r="Z73" s="22">
        <v>12250.9</v>
      </c>
      <c r="AA73" s="22">
        <v>16779.3</v>
      </c>
      <c r="AB73" s="22">
        <v>16779.343000000001</v>
      </c>
      <c r="AC73" s="22">
        <v>16779.343000000001</v>
      </c>
      <c r="AD73" s="22">
        <v>11005.9</v>
      </c>
      <c r="AE73" s="22">
        <v>11572</v>
      </c>
      <c r="AF73" s="22">
        <v>11571.960999999999</v>
      </c>
      <c r="AG73" s="22">
        <v>11571.960999999999</v>
      </c>
      <c r="AH73" s="22">
        <v>8751.4</v>
      </c>
      <c r="AI73" s="22">
        <v>8706.6</v>
      </c>
      <c r="AJ73" s="22">
        <v>8652.2000000000007</v>
      </c>
      <c r="AK73" s="22">
        <v>8294.7999999999993</v>
      </c>
      <c r="AL73" s="22">
        <v>8294.8420000000006</v>
      </c>
      <c r="AM73" s="22">
        <v>8294.8420000000006</v>
      </c>
      <c r="AN73" s="22">
        <v>8007.3</v>
      </c>
      <c r="AO73" s="22">
        <v>8007.3</v>
      </c>
      <c r="AP73" s="22">
        <v>8007.3</v>
      </c>
      <c r="AQ73" s="22"/>
      <c r="AR73" s="22"/>
      <c r="AS73" s="22"/>
      <c r="AT73" s="22"/>
      <c r="AU73" s="22"/>
      <c r="AV73" s="22">
        <v>0</v>
      </c>
      <c r="AW73" s="22">
        <v>0</v>
      </c>
      <c r="AX73" s="22"/>
      <c r="AY73" s="22"/>
      <c r="AZ73" s="22"/>
      <c r="BA73" s="22"/>
      <c r="BB73" s="22"/>
      <c r="BC73" s="22"/>
      <c r="BD73" s="22"/>
      <c r="BE73" s="22"/>
      <c r="BF73" s="22">
        <v>0</v>
      </c>
      <c r="BG73" s="22" t="e">
        <f t="shared" si="51"/>
        <v>#DIV/0!</v>
      </c>
      <c r="BH73" s="22"/>
      <c r="BI73" s="22"/>
      <c r="BJ73" s="22"/>
      <c r="BK73" s="21"/>
      <c r="BL73" s="29"/>
      <c r="BM73" s="29"/>
      <c r="BN73" s="25"/>
      <c r="BO73" s="29"/>
      <c r="BP73" s="22"/>
      <c r="BQ73" s="22" t="e">
        <f t="shared" si="66"/>
        <v>#DIV/0!</v>
      </c>
      <c r="BR73" s="22"/>
      <c r="BS73" s="22" t="e">
        <f t="shared" si="67"/>
        <v>#DIV/0!</v>
      </c>
      <c r="BT73" s="22" t="e">
        <f t="shared" si="68"/>
        <v>#DIV/0!</v>
      </c>
      <c r="BU73" s="22"/>
      <c r="BV73" s="22" t="e">
        <f t="shared" si="69"/>
        <v>#DIV/0!</v>
      </c>
      <c r="BW73" s="22" t="e">
        <f t="shared" si="70"/>
        <v>#DIV/0!</v>
      </c>
      <c r="BX73" s="22"/>
      <c r="BY73" s="22" t="e">
        <f t="shared" si="71"/>
        <v>#DIV/0!</v>
      </c>
    </row>
    <row r="74" spans="1:77" ht="27" customHeight="1" x14ac:dyDescent="0.25">
      <c r="A74" s="19" t="s">
        <v>194</v>
      </c>
      <c r="B74" s="40" t="s">
        <v>195</v>
      </c>
      <c r="C74" s="21">
        <f t="shared" ref="C74:I74" si="72">C75+C76+C77+C78</f>
        <v>5965.47</v>
      </c>
      <c r="D74" s="21">
        <f t="shared" si="72"/>
        <v>0</v>
      </c>
      <c r="E74" s="21">
        <f t="shared" si="72"/>
        <v>15541.3</v>
      </c>
      <c r="F74" s="21">
        <f t="shared" si="72"/>
        <v>12306.21</v>
      </c>
      <c r="G74" s="21">
        <f t="shared" si="72"/>
        <v>3874.9</v>
      </c>
      <c r="H74" s="21">
        <f t="shared" si="72"/>
        <v>8505.6</v>
      </c>
      <c r="I74" s="21">
        <f t="shared" si="72"/>
        <v>8505.6200000000008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>
        <f t="shared" ref="AK74:AP74" si="73">AK78</f>
        <v>12078.8</v>
      </c>
      <c r="AL74" s="21">
        <f t="shared" si="73"/>
        <v>12078.83</v>
      </c>
      <c r="AM74" s="21">
        <f t="shared" si="73"/>
        <v>12078.83</v>
      </c>
      <c r="AN74" s="21">
        <f t="shared" si="73"/>
        <v>60</v>
      </c>
      <c r="AO74" s="21">
        <f t="shared" si="73"/>
        <v>60</v>
      </c>
      <c r="AP74" s="21">
        <f t="shared" si="73"/>
        <v>60</v>
      </c>
      <c r="AQ74" s="21">
        <v>12614.9</v>
      </c>
      <c r="AR74" s="21">
        <v>12615</v>
      </c>
      <c r="AS74" s="21">
        <v>60</v>
      </c>
      <c r="AT74" s="21">
        <f t="shared" ref="AT74:BB74" si="74">AT78</f>
        <v>60</v>
      </c>
      <c r="AU74" s="21">
        <f t="shared" si="74"/>
        <v>60</v>
      </c>
      <c r="AV74" s="21">
        <f t="shared" si="74"/>
        <v>60</v>
      </c>
      <c r="AW74" s="21">
        <f>AW78</f>
        <v>60</v>
      </c>
      <c r="AX74" s="21">
        <f t="shared" si="74"/>
        <v>58.4</v>
      </c>
      <c r="AY74" s="21">
        <f t="shared" si="74"/>
        <v>58.5</v>
      </c>
      <c r="AZ74" s="21">
        <f t="shared" si="74"/>
        <v>58.4</v>
      </c>
      <c r="BA74" s="21">
        <f t="shared" si="74"/>
        <v>58.4</v>
      </c>
      <c r="BB74" s="21">
        <f t="shared" si="74"/>
        <v>58.4</v>
      </c>
      <c r="BC74" s="21">
        <v>58.4</v>
      </c>
      <c r="BD74" s="21">
        <v>58.4</v>
      </c>
      <c r="BE74" s="21">
        <v>58.4</v>
      </c>
      <c r="BF74" s="21">
        <f>BF78</f>
        <v>58.4</v>
      </c>
      <c r="BG74" s="22">
        <f t="shared" si="51"/>
        <v>97.333333333333329</v>
      </c>
      <c r="BH74" s="21">
        <f>BH78</f>
        <v>31.1</v>
      </c>
      <c r="BI74" s="21">
        <f>BI78</f>
        <v>30.7</v>
      </c>
      <c r="BJ74" s="21">
        <f>BJ78</f>
        <v>30.6</v>
      </c>
      <c r="BK74" s="23">
        <f>BK78</f>
        <v>31.1</v>
      </c>
      <c r="BL74" s="24">
        <f>BL78</f>
        <v>10031.1</v>
      </c>
      <c r="BM74" s="24">
        <v>10031.1</v>
      </c>
      <c r="BN74" s="25">
        <v>10031.1</v>
      </c>
      <c r="BO74" s="29">
        <v>10031.1</v>
      </c>
      <c r="BP74" s="21">
        <f>BP78</f>
        <v>10031.1</v>
      </c>
      <c r="BQ74" s="47">
        <f t="shared" si="66"/>
        <v>17176.54109589041</v>
      </c>
      <c r="BR74" s="21">
        <f>BR78</f>
        <v>37.1</v>
      </c>
      <c r="BS74" s="22">
        <f t="shared" si="67"/>
        <v>0.36984976722393359</v>
      </c>
      <c r="BT74" s="22">
        <f t="shared" si="68"/>
        <v>120.84690553745929</v>
      </c>
      <c r="BU74" s="21">
        <f>BU78</f>
        <v>37.299999999999997</v>
      </c>
      <c r="BV74" s="22">
        <f t="shared" si="69"/>
        <v>100.53908355795147</v>
      </c>
      <c r="BW74" s="22">
        <f t="shared" si="70"/>
        <v>121.89542483660129</v>
      </c>
      <c r="BX74" s="21">
        <f>BX78</f>
        <v>37.1</v>
      </c>
      <c r="BY74" s="22">
        <f t="shared" si="71"/>
        <v>99.463806970509395</v>
      </c>
    </row>
    <row r="75" spans="1:77" ht="22.5" hidden="1" customHeight="1" x14ac:dyDescent="0.25">
      <c r="A75" s="11" t="s">
        <v>196</v>
      </c>
      <c r="B75" s="38" t="s">
        <v>197</v>
      </c>
      <c r="C75" s="22">
        <v>4493.0200000000004</v>
      </c>
      <c r="D75" s="22">
        <v>0</v>
      </c>
      <c r="E75" s="22">
        <v>5580.2</v>
      </c>
      <c r="F75" s="22">
        <v>5580.2</v>
      </c>
      <c r="G75" s="22">
        <v>3176.8</v>
      </c>
      <c r="H75" s="22">
        <v>499.6</v>
      </c>
      <c r="I75" s="22">
        <v>499.62</v>
      </c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 t="e">
        <f t="shared" si="51"/>
        <v>#DIV/0!</v>
      </c>
      <c r="BH75" s="22"/>
      <c r="BI75" s="22"/>
      <c r="BJ75" s="22"/>
      <c r="BK75" s="21"/>
      <c r="BL75" s="29"/>
      <c r="BM75" s="29"/>
      <c r="BN75" s="25"/>
      <c r="BO75" s="29"/>
      <c r="BP75" s="22"/>
      <c r="BQ75" s="22" t="e">
        <f t="shared" si="66"/>
        <v>#DIV/0!</v>
      </c>
      <c r="BR75" s="22"/>
      <c r="BS75" s="22" t="e">
        <f t="shared" si="67"/>
        <v>#DIV/0!</v>
      </c>
      <c r="BT75" s="22" t="e">
        <f t="shared" si="68"/>
        <v>#DIV/0!</v>
      </c>
      <c r="BU75" s="22"/>
      <c r="BV75" s="22" t="e">
        <f t="shared" si="69"/>
        <v>#DIV/0!</v>
      </c>
      <c r="BW75" s="22" t="e">
        <f t="shared" si="70"/>
        <v>#DIV/0!</v>
      </c>
      <c r="BX75" s="22"/>
      <c r="BY75" s="22" t="e">
        <f t="shared" si="71"/>
        <v>#DIV/0!</v>
      </c>
    </row>
    <row r="76" spans="1:77" ht="22.5" hidden="1" customHeight="1" x14ac:dyDescent="0.25">
      <c r="A76" s="11" t="s">
        <v>198</v>
      </c>
      <c r="B76" s="38" t="s">
        <v>199</v>
      </c>
      <c r="C76" s="22">
        <v>1390.45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 t="e">
        <f t="shared" si="51"/>
        <v>#DIV/0!</v>
      </c>
      <c r="BH76" s="22"/>
      <c r="BI76" s="22"/>
      <c r="BJ76" s="22"/>
      <c r="BK76" s="21"/>
      <c r="BL76" s="29"/>
      <c r="BM76" s="29"/>
      <c r="BN76" s="25"/>
      <c r="BO76" s="29"/>
      <c r="BP76" s="22"/>
      <c r="BQ76" s="22" t="e">
        <f t="shared" si="66"/>
        <v>#DIV/0!</v>
      </c>
      <c r="BR76" s="22"/>
      <c r="BS76" s="22" t="e">
        <f t="shared" si="67"/>
        <v>#DIV/0!</v>
      </c>
      <c r="BT76" s="22" t="e">
        <f t="shared" si="68"/>
        <v>#DIV/0!</v>
      </c>
      <c r="BU76" s="22"/>
      <c r="BV76" s="22" t="e">
        <f t="shared" si="69"/>
        <v>#DIV/0!</v>
      </c>
      <c r="BW76" s="22" t="e">
        <f t="shared" si="70"/>
        <v>#DIV/0!</v>
      </c>
      <c r="BX76" s="22"/>
      <c r="BY76" s="22" t="e">
        <f t="shared" si="71"/>
        <v>#DIV/0!</v>
      </c>
    </row>
    <row r="77" spans="1:77" ht="22.5" hidden="1" customHeight="1" x14ac:dyDescent="0.25">
      <c r="A77" s="11" t="s">
        <v>200</v>
      </c>
      <c r="B77" s="38" t="s">
        <v>201</v>
      </c>
      <c r="C77" s="22">
        <v>0</v>
      </c>
      <c r="D77" s="22">
        <v>0</v>
      </c>
      <c r="E77" s="22">
        <v>920.7</v>
      </c>
      <c r="F77" s="22">
        <v>891</v>
      </c>
      <c r="G77" s="22">
        <v>0</v>
      </c>
      <c r="H77" s="22">
        <v>0</v>
      </c>
      <c r="I77" s="22">
        <v>0</v>
      </c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 t="e">
        <f t="shared" si="51"/>
        <v>#DIV/0!</v>
      </c>
      <c r="BH77" s="22"/>
      <c r="BI77" s="22"/>
      <c r="BJ77" s="22"/>
      <c r="BK77" s="21"/>
      <c r="BL77" s="29"/>
      <c r="BM77" s="29"/>
      <c r="BN77" s="25"/>
      <c r="BO77" s="29"/>
      <c r="BP77" s="22"/>
      <c r="BQ77" s="22" t="e">
        <f t="shared" si="66"/>
        <v>#DIV/0!</v>
      </c>
      <c r="BR77" s="22"/>
      <c r="BS77" s="22" t="e">
        <f t="shared" si="67"/>
        <v>#DIV/0!</v>
      </c>
      <c r="BT77" s="22" t="e">
        <f t="shared" si="68"/>
        <v>#DIV/0!</v>
      </c>
      <c r="BU77" s="22"/>
      <c r="BV77" s="22" t="e">
        <f t="shared" si="69"/>
        <v>#DIV/0!</v>
      </c>
      <c r="BW77" s="22" t="e">
        <f t="shared" si="70"/>
        <v>#DIV/0!</v>
      </c>
      <c r="BX77" s="22"/>
      <c r="BY77" s="22" t="e">
        <f t="shared" si="71"/>
        <v>#DIV/0!</v>
      </c>
    </row>
    <row r="78" spans="1:77" ht="22.5" hidden="1" customHeight="1" x14ac:dyDescent="0.25">
      <c r="A78" s="11" t="s">
        <v>202</v>
      </c>
      <c r="B78" s="38" t="s">
        <v>203</v>
      </c>
      <c r="C78" s="22">
        <v>82</v>
      </c>
      <c r="D78" s="22">
        <v>0</v>
      </c>
      <c r="E78" s="22">
        <v>9040.4</v>
      </c>
      <c r="F78" s="22">
        <v>5835.01</v>
      </c>
      <c r="G78" s="22">
        <v>698.1</v>
      </c>
      <c r="H78" s="22">
        <v>8006</v>
      </c>
      <c r="I78" s="22">
        <v>8006</v>
      </c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>
        <v>12078.8</v>
      </c>
      <c r="AL78" s="22">
        <v>12078.83</v>
      </c>
      <c r="AM78" s="22">
        <v>12078.83</v>
      </c>
      <c r="AN78" s="22">
        <v>60</v>
      </c>
      <c r="AO78" s="22">
        <v>60</v>
      </c>
      <c r="AP78" s="22">
        <v>60</v>
      </c>
      <c r="AQ78" s="22"/>
      <c r="AR78" s="22"/>
      <c r="AS78" s="22"/>
      <c r="AT78" s="22">
        <v>60</v>
      </c>
      <c r="AU78" s="22">
        <v>60</v>
      </c>
      <c r="AV78" s="22">
        <v>60</v>
      </c>
      <c r="AW78" s="22">
        <v>60</v>
      </c>
      <c r="AX78" s="22">
        <v>58.4</v>
      </c>
      <c r="AY78" s="22">
        <v>58.5</v>
      </c>
      <c r="AZ78" s="22">
        <v>58.4</v>
      </c>
      <c r="BA78" s="22">
        <v>58.4</v>
      </c>
      <c r="BB78" s="22">
        <v>58.4</v>
      </c>
      <c r="BC78" s="22">
        <v>58.4</v>
      </c>
      <c r="BD78" s="22">
        <v>58.4</v>
      </c>
      <c r="BE78" s="22">
        <v>58.4</v>
      </c>
      <c r="BF78" s="22">
        <v>58.4</v>
      </c>
      <c r="BG78" s="22">
        <f t="shared" si="51"/>
        <v>97.333333333333329</v>
      </c>
      <c r="BH78" s="22">
        <v>31.1</v>
      </c>
      <c r="BI78" s="22">
        <v>30.7</v>
      </c>
      <c r="BJ78" s="22">
        <v>30.6</v>
      </c>
      <c r="BK78" s="21">
        <v>31.1</v>
      </c>
      <c r="BL78" s="29">
        <f>BL80+BL85</f>
        <v>10031.1</v>
      </c>
      <c r="BM78" s="29"/>
      <c r="BN78" s="25"/>
      <c r="BO78" s="29"/>
      <c r="BP78" s="22">
        <v>10031.1</v>
      </c>
      <c r="BQ78" s="22">
        <f t="shared" si="66"/>
        <v>17176.54109589041</v>
      </c>
      <c r="BR78" s="22">
        <v>37.1</v>
      </c>
      <c r="BS78" s="22">
        <f t="shared" si="67"/>
        <v>0.36984976722393359</v>
      </c>
      <c r="BT78" s="22">
        <f t="shared" si="68"/>
        <v>120.84690553745929</v>
      </c>
      <c r="BU78" s="22">
        <v>37.299999999999997</v>
      </c>
      <c r="BV78" s="22">
        <f t="shared" si="69"/>
        <v>100.53908355795147</v>
      </c>
      <c r="BW78" s="22">
        <f t="shared" si="70"/>
        <v>121.89542483660129</v>
      </c>
      <c r="BX78" s="22">
        <v>37.1</v>
      </c>
      <c r="BY78" s="22">
        <f t="shared" si="71"/>
        <v>99.463806970509395</v>
      </c>
    </row>
    <row r="79" spans="1:77" ht="22.5" hidden="1" customHeight="1" x14ac:dyDescent="0.25">
      <c r="A79" s="11"/>
      <c r="B79" s="38" t="s">
        <v>204</v>
      </c>
      <c r="C79" s="22"/>
      <c r="D79" s="22"/>
      <c r="E79" s="22"/>
      <c r="F79" s="22">
        <v>3826.57</v>
      </c>
      <c r="G79" s="22"/>
      <c r="H79" s="22">
        <v>6007.9</v>
      </c>
      <c r="I79" s="22">
        <v>6007.9</v>
      </c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>
        <v>12019.8</v>
      </c>
      <c r="AL79" s="22">
        <v>12019.83</v>
      </c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 t="e">
        <f t="shared" si="51"/>
        <v>#DIV/0!</v>
      </c>
      <c r="BH79" s="22"/>
      <c r="BI79" s="22"/>
      <c r="BJ79" s="22"/>
      <c r="BK79" s="21"/>
      <c r="BL79" s="29"/>
      <c r="BM79" s="29"/>
      <c r="BN79" s="25"/>
      <c r="BO79" s="29"/>
      <c r="BP79" s="22"/>
      <c r="BQ79" s="22" t="e">
        <f t="shared" si="66"/>
        <v>#DIV/0!</v>
      </c>
      <c r="BR79" s="22"/>
      <c r="BS79" s="22" t="e">
        <f t="shared" si="67"/>
        <v>#DIV/0!</v>
      </c>
      <c r="BT79" s="22" t="e">
        <f t="shared" si="68"/>
        <v>#DIV/0!</v>
      </c>
      <c r="BU79" s="22"/>
      <c r="BV79" s="22" t="e">
        <f t="shared" si="69"/>
        <v>#DIV/0!</v>
      </c>
      <c r="BW79" s="22" t="e">
        <f t="shared" si="70"/>
        <v>#DIV/0!</v>
      </c>
      <c r="BX79" s="22"/>
      <c r="BY79" s="22" t="e">
        <f t="shared" si="71"/>
        <v>#DIV/0!</v>
      </c>
    </row>
    <row r="80" spans="1:77" ht="22.5" hidden="1" customHeight="1" x14ac:dyDescent="0.25">
      <c r="A80" s="11"/>
      <c r="B80" s="38" t="s">
        <v>205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>
        <v>59</v>
      </c>
      <c r="AL80" s="22">
        <v>59</v>
      </c>
      <c r="AM80" s="22"/>
      <c r="AN80" s="22">
        <v>60</v>
      </c>
      <c r="AO80" s="22">
        <v>60</v>
      </c>
      <c r="AP80" s="22">
        <v>60</v>
      </c>
      <c r="AQ80" s="22"/>
      <c r="AR80" s="22"/>
      <c r="AS80" s="22"/>
      <c r="AT80" s="22">
        <v>60</v>
      </c>
      <c r="AU80" s="22">
        <v>60</v>
      </c>
      <c r="AV80" s="22"/>
      <c r="AW80" s="22"/>
      <c r="AX80" s="22">
        <v>58.4</v>
      </c>
      <c r="AY80" s="22">
        <v>58.5</v>
      </c>
      <c r="AZ80" s="22">
        <v>58.4</v>
      </c>
      <c r="BA80" s="22">
        <v>58.4</v>
      </c>
      <c r="BB80" s="22">
        <v>58.4</v>
      </c>
      <c r="BC80" s="22">
        <v>58.4</v>
      </c>
      <c r="BD80" s="22">
        <v>58.4</v>
      </c>
      <c r="BE80" s="22">
        <v>58.4</v>
      </c>
      <c r="BF80" s="22">
        <v>58.4</v>
      </c>
      <c r="BG80" s="22" t="e">
        <f t="shared" si="51"/>
        <v>#DIV/0!</v>
      </c>
      <c r="BH80" s="22">
        <v>31.1</v>
      </c>
      <c r="BI80" s="22">
        <v>30.7</v>
      </c>
      <c r="BJ80" s="22">
        <v>30.6</v>
      </c>
      <c r="BK80" s="21">
        <v>31.1</v>
      </c>
      <c r="BL80" s="29">
        <v>31.1</v>
      </c>
      <c r="BM80" s="29"/>
      <c r="BN80" s="25"/>
      <c r="BO80" s="29"/>
      <c r="BP80" s="22">
        <v>31.1</v>
      </c>
      <c r="BQ80" s="22">
        <f t="shared" si="66"/>
        <v>53.253424657534254</v>
      </c>
      <c r="BR80" s="22">
        <v>37.1</v>
      </c>
      <c r="BS80" s="22">
        <f t="shared" si="67"/>
        <v>119.29260450160773</v>
      </c>
      <c r="BT80" s="22">
        <f t="shared" si="68"/>
        <v>120.84690553745929</v>
      </c>
      <c r="BU80" s="22">
        <v>37.299999999999997</v>
      </c>
      <c r="BV80" s="22">
        <f t="shared" si="69"/>
        <v>100.53908355795147</v>
      </c>
      <c r="BW80" s="22">
        <f t="shared" si="70"/>
        <v>121.89542483660129</v>
      </c>
      <c r="BX80" s="22">
        <v>37.1</v>
      </c>
      <c r="BY80" s="22">
        <f t="shared" si="71"/>
        <v>99.463806970509395</v>
      </c>
    </row>
    <row r="81" spans="1:78" ht="22.5" hidden="1" customHeight="1" x14ac:dyDescent="0.25">
      <c r="A81" s="11"/>
      <c r="B81" s="38" t="s">
        <v>206</v>
      </c>
      <c r="C81" s="22"/>
      <c r="D81" s="22"/>
      <c r="E81" s="22"/>
      <c r="F81" s="22">
        <f>1114.24</f>
        <v>1114.24</v>
      </c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 t="e">
        <f t="shared" si="51"/>
        <v>#DIV/0!</v>
      </c>
      <c r="BH81" s="22"/>
      <c r="BI81" s="22"/>
      <c r="BJ81" s="22"/>
      <c r="BK81" s="21"/>
      <c r="BL81" s="29"/>
      <c r="BM81" s="29"/>
      <c r="BN81" s="25"/>
      <c r="BO81" s="29"/>
      <c r="BP81" s="22"/>
      <c r="BQ81" s="22" t="e">
        <f t="shared" si="66"/>
        <v>#DIV/0!</v>
      </c>
      <c r="BR81" s="22"/>
      <c r="BS81" s="22" t="e">
        <f t="shared" si="67"/>
        <v>#DIV/0!</v>
      </c>
      <c r="BT81" s="22" t="e">
        <f t="shared" si="68"/>
        <v>#DIV/0!</v>
      </c>
      <c r="BU81" s="22"/>
      <c r="BV81" s="22" t="e">
        <f t="shared" si="69"/>
        <v>#DIV/0!</v>
      </c>
      <c r="BW81" s="22" t="e">
        <f t="shared" si="70"/>
        <v>#DIV/0!</v>
      </c>
      <c r="BX81" s="22"/>
      <c r="BY81" s="22" t="e">
        <f t="shared" si="71"/>
        <v>#DIV/0!</v>
      </c>
    </row>
    <row r="82" spans="1:78" ht="22.5" hidden="1" customHeight="1" x14ac:dyDescent="0.25">
      <c r="A82" s="11"/>
      <c r="B82" s="38" t="s">
        <v>207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 t="e">
        <f t="shared" si="51"/>
        <v>#DIV/0!</v>
      </c>
      <c r="BH82" s="22"/>
      <c r="BI82" s="22"/>
      <c r="BJ82" s="22"/>
      <c r="BK82" s="21"/>
      <c r="BL82" s="29"/>
      <c r="BM82" s="29"/>
      <c r="BN82" s="25"/>
      <c r="BO82" s="29"/>
      <c r="BP82" s="22"/>
      <c r="BQ82" s="22" t="e">
        <f t="shared" si="66"/>
        <v>#DIV/0!</v>
      </c>
      <c r="BR82" s="22"/>
      <c r="BS82" s="22" t="e">
        <f t="shared" si="67"/>
        <v>#DIV/0!</v>
      </c>
      <c r="BT82" s="22" t="e">
        <f t="shared" si="68"/>
        <v>#DIV/0!</v>
      </c>
      <c r="BU82" s="22"/>
      <c r="BV82" s="22" t="e">
        <f t="shared" si="69"/>
        <v>#DIV/0!</v>
      </c>
      <c r="BW82" s="22" t="e">
        <f t="shared" si="70"/>
        <v>#DIV/0!</v>
      </c>
      <c r="BX82" s="22"/>
      <c r="BY82" s="22" t="e">
        <f t="shared" si="71"/>
        <v>#DIV/0!</v>
      </c>
    </row>
    <row r="83" spans="1:78" ht="22.5" hidden="1" customHeight="1" x14ac:dyDescent="0.25">
      <c r="A83" s="11"/>
      <c r="B83" s="38" t="s">
        <v>208</v>
      </c>
      <c r="C83" s="22"/>
      <c r="D83" s="22"/>
      <c r="E83" s="22"/>
      <c r="F83" s="22">
        <v>615.6</v>
      </c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 t="e">
        <f t="shared" si="51"/>
        <v>#DIV/0!</v>
      </c>
      <c r="BH83" s="22"/>
      <c r="BI83" s="22"/>
      <c r="BJ83" s="22"/>
      <c r="BK83" s="21"/>
      <c r="BL83" s="29"/>
      <c r="BM83" s="29"/>
      <c r="BN83" s="25"/>
      <c r="BO83" s="29"/>
      <c r="BP83" s="22"/>
      <c r="BQ83" s="22" t="e">
        <f t="shared" si="66"/>
        <v>#DIV/0!</v>
      </c>
      <c r="BR83" s="22"/>
      <c r="BS83" s="22" t="e">
        <f t="shared" si="67"/>
        <v>#DIV/0!</v>
      </c>
      <c r="BT83" s="22" t="e">
        <f t="shared" si="68"/>
        <v>#DIV/0!</v>
      </c>
      <c r="BU83" s="22"/>
      <c r="BV83" s="22" t="e">
        <f t="shared" si="69"/>
        <v>#DIV/0!</v>
      </c>
      <c r="BW83" s="22" t="e">
        <f t="shared" si="70"/>
        <v>#DIV/0!</v>
      </c>
      <c r="BX83" s="22"/>
      <c r="BY83" s="22" t="e">
        <f t="shared" si="71"/>
        <v>#DIV/0!</v>
      </c>
    </row>
    <row r="84" spans="1:78" ht="22.5" hidden="1" customHeight="1" x14ac:dyDescent="0.25">
      <c r="A84" s="11"/>
      <c r="B84" s="38" t="s">
        <v>209</v>
      </c>
      <c r="C84" s="22"/>
      <c r="D84" s="22"/>
      <c r="E84" s="22"/>
      <c r="F84" s="22">
        <v>278.60000000000002</v>
      </c>
      <c r="G84" s="22">
        <v>698.1</v>
      </c>
      <c r="H84" s="22">
        <v>698.1</v>
      </c>
      <c r="I84" s="22">
        <v>698.1</v>
      </c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 t="e">
        <f t="shared" si="51"/>
        <v>#DIV/0!</v>
      </c>
      <c r="BH84" s="22"/>
      <c r="BI84" s="22"/>
      <c r="BJ84" s="22"/>
      <c r="BK84" s="21"/>
      <c r="BL84" s="29"/>
      <c r="BM84" s="29"/>
      <c r="BN84" s="25"/>
      <c r="BO84" s="29"/>
      <c r="BP84" s="22"/>
      <c r="BQ84" s="22" t="e">
        <f t="shared" si="66"/>
        <v>#DIV/0!</v>
      </c>
      <c r="BR84" s="22"/>
      <c r="BS84" s="22" t="e">
        <f t="shared" si="67"/>
        <v>#DIV/0!</v>
      </c>
      <c r="BT84" s="22" t="e">
        <f t="shared" si="68"/>
        <v>#DIV/0!</v>
      </c>
      <c r="BU84" s="22"/>
      <c r="BV84" s="22" t="e">
        <f t="shared" si="69"/>
        <v>#DIV/0!</v>
      </c>
      <c r="BW84" s="22" t="e">
        <f t="shared" si="70"/>
        <v>#DIV/0!</v>
      </c>
      <c r="BX84" s="22"/>
      <c r="BY84" s="22" t="e">
        <f t="shared" si="71"/>
        <v>#DIV/0!</v>
      </c>
    </row>
    <row r="85" spans="1:78" ht="22.5" hidden="1" customHeight="1" x14ac:dyDescent="0.25">
      <c r="A85" s="11"/>
      <c r="B85" s="38" t="s">
        <v>210</v>
      </c>
      <c r="C85" s="22"/>
      <c r="D85" s="22"/>
      <c r="E85" s="22"/>
      <c r="F85" s="22"/>
      <c r="G85" s="22"/>
      <c r="H85" s="22">
        <v>1300</v>
      </c>
      <c r="I85" s="22">
        <v>1300</v>
      </c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 t="e">
        <f t="shared" si="51"/>
        <v>#DIV/0!</v>
      </c>
      <c r="BH85" s="22"/>
      <c r="BI85" s="22"/>
      <c r="BJ85" s="22"/>
      <c r="BK85" s="21"/>
      <c r="BL85" s="29">
        <v>10000</v>
      </c>
      <c r="BM85" s="29"/>
      <c r="BN85" s="25"/>
      <c r="BO85" s="29"/>
      <c r="BP85" s="22">
        <f>10000</f>
        <v>10000</v>
      </c>
      <c r="BQ85" s="22" t="e">
        <f t="shared" si="66"/>
        <v>#DIV/0!</v>
      </c>
      <c r="BR85" s="22"/>
      <c r="BS85" s="22">
        <f t="shared" si="67"/>
        <v>0</v>
      </c>
      <c r="BT85" s="22" t="e">
        <f t="shared" si="68"/>
        <v>#DIV/0!</v>
      </c>
      <c r="BU85" s="22"/>
      <c r="BV85" s="22" t="e">
        <f t="shared" si="69"/>
        <v>#DIV/0!</v>
      </c>
      <c r="BW85" s="22" t="e">
        <f t="shared" si="70"/>
        <v>#DIV/0!</v>
      </c>
      <c r="BX85" s="22"/>
      <c r="BY85" s="22" t="e">
        <f t="shared" si="71"/>
        <v>#DIV/0!</v>
      </c>
    </row>
    <row r="86" spans="1:78" ht="24" customHeight="1" x14ac:dyDescent="0.25">
      <c r="A86" s="19" t="s">
        <v>211</v>
      </c>
      <c r="B86" s="20" t="s">
        <v>212</v>
      </c>
      <c r="C86" s="21">
        <f t="shared" ref="C86:Z86" si="75">C88+C89</f>
        <v>595.70000000000005</v>
      </c>
      <c r="D86" s="21">
        <f t="shared" si="75"/>
        <v>597.9</v>
      </c>
      <c r="E86" s="21">
        <f t="shared" si="75"/>
        <v>597.9</v>
      </c>
      <c r="F86" s="21">
        <f t="shared" si="75"/>
        <v>597.9</v>
      </c>
      <c r="G86" s="21">
        <f t="shared" si="75"/>
        <v>367</v>
      </c>
      <c r="H86" s="21">
        <f t="shared" si="75"/>
        <v>512.4</v>
      </c>
      <c r="I86" s="21">
        <f t="shared" si="75"/>
        <v>512.34440999999993</v>
      </c>
      <c r="J86" s="21">
        <f t="shared" si="75"/>
        <v>879</v>
      </c>
      <c r="K86" s="21">
        <f t="shared" si="75"/>
        <v>879</v>
      </c>
      <c r="L86" s="21">
        <f t="shared" si="75"/>
        <v>879</v>
      </c>
      <c r="M86" s="21">
        <f t="shared" si="75"/>
        <v>879</v>
      </c>
      <c r="N86" s="21">
        <f t="shared" si="75"/>
        <v>876</v>
      </c>
      <c r="O86" s="21">
        <f t="shared" si="75"/>
        <v>698.4</v>
      </c>
      <c r="P86" s="21">
        <f t="shared" si="75"/>
        <v>698.4</v>
      </c>
      <c r="Q86" s="21">
        <f t="shared" si="75"/>
        <v>698.4</v>
      </c>
      <c r="R86" s="21">
        <f t="shared" si="75"/>
        <v>889</v>
      </c>
      <c r="S86" s="21">
        <f t="shared" si="75"/>
        <v>653</v>
      </c>
      <c r="T86" s="21">
        <f t="shared" si="75"/>
        <v>653</v>
      </c>
      <c r="U86" s="21">
        <f t="shared" si="75"/>
        <v>653</v>
      </c>
      <c r="V86" s="21">
        <f t="shared" si="75"/>
        <v>475.2</v>
      </c>
      <c r="W86" s="21">
        <f t="shared" si="75"/>
        <v>475.2</v>
      </c>
      <c r="X86" s="21">
        <f t="shared" si="75"/>
        <v>475.2</v>
      </c>
      <c r="Y86" s="21">
        <f t="shared" si="75"/>
        <v>475.2</v>
      </c>
      <c r="Z86" s="21">
        <f t="shared" si="75"/>
        <v>493.8</v>
      </c>
      <c r="AA86" s="21">
        <f>AA88+AA89+AA87</f>
        <v>495.84000000000003</v>
      </c>
      <c r="AB86" s="21">
        <f>AB88+AB89+AB87</f>
        <v>495.84000000000003</v>
      </c>
      <c r="AC86" s="21">
        <f>AC88+AC89+AC87</f>
        <v>495.84000000000003</v>
      </c>
      <c r="AD86" s="21">
        <f>AD88+AD89</f>
        <v>514.9</v>
      </c>
      <c r="AE86" s="21">
        <f>AE88+AE89+AE87</f>
        <v>548.6</v>
      </c>
      <c r="AF86" s="21">
        <f>AF88+AF89+AF87</f>
        <v>548.6</v>
      </c>
      <c r="AG86" s="21">
        <f>AG88+AG89+AG87</f>
        <v>548.6</v>
      </c>
      <c r="AH86" s="21">
        <f>AH88+AH89</f>
        <v>547.9</v>
      </c>
      <c r="AI86" s="21">
        <f>AI88+AI89</f>
        <v>552</v>
      </c>
      <c r="AJ86" s="21">
        <f>AJ88+AJ89</f>
        <v>565.1</v>
      </c>
      <c r="AK86" s="21">
        <f>AK88+AK89+AK87</f>
        <v>593.1</v>
      </c>
      <c r="AL86" s="21">
        <f>AL88+AL89+AL87</f>
        <v>593.09299999999996</v>
      </c>
      <c r="AM86" s="21">
        <f>AM88+AM89+AM87</f>
        <v>593.09299999999996</v>
      </c>
      <c r="AN86" s="21">
        <f>AN88+AN89</f>
        <v>567</v>
      </c>
      <c r="AO86" s="21">
        <f>AO88+AO89</f>
        <v>567</v>
      </c>
      <c r="AP86" s="21">
        <f>AP88+AP89</f>
        <v>567</v>
      </c>
      <c r="AQ86" s="21">
        <v>645.1</v>
      </c>
      <c r="AR86" s="21">
        <v>645.1</v>
      </c>
      <c r="AS86" s="21">
        <v>702.8</v>
      </c>
      <c r="AT86" s="21">
        <f>AT88+AT89+AT87</f>
        <v>702.80000000000007</v>
      </c>
      <c r="AU86" s="21">
        <f>AU88+AU89+AU87</f>
        <v>702.80000000000007</v>
      </c>
      <c r="AV86" s="21">
        <f>AV88+AV89+AV87</f>
        <v>702.77700000000004</v>
      </c>
      <c r="AW86" s="21">
        <f>AW88+AW89+AW87</f>
        <v>702.77700000000004</v>
      </c>
      <c r="AX86" s="21">
        <f t="shared" ref="AX86" si="76">AX88+AX89</f>
        <v>597.70000000000005</v>
      </c>
      <c r="AY86" s="21">
        <f>AY88+AY89</f>
        <v>614.4</v>
      </c>
      <c r="AZ86" s="21">
        <f>AZ88+AZ89</f>
        <v>632.29999999999995</v>
      </c>
      <c r="BA86" s="21">
        <f t="shared" ref="BA86:BB86" si="77">BA88+BA89</f>
        <v>597.70000000000005</v>
      </c>
      <c r="BB86" s="21">
        <f t="shared" si="77"/>
        <v>597.70000000000005</v>
      </c>
      <c r="BC86" s="21">
        <v>653</v>
      </c>
      <c r="BD86" s="21">
        <v>653</v>
      </c>
      <c r="BE86" s="21">
        <f>BE88+BE89+BE87</f>
        <v>653.01150999999993</v>
      </c>
      <c r="BF86" s="21">
        <f>BF88+BF89+BF87</f>
        <v>653.01150999999993</v>
      </c>
      <c r="BG86" s="22">
        <f t="shared" si="51"/>
        <v>92.918736668957564</v>
      </c>
      <c r="BH86" s="21">
        <f t="shared" ref="BH86" si="78">BH88+BH89</f>
        <v>711.5</v>
      </c>
      <c r="BI86" s="21">
        <f>BI88+BI89</f>
        <v>739.3</v>
      </c>
      <c r="BJ86" s="21">
        <f>BJ88+BJ89</f>
        <v>761.9</v>
      </c>
      <c r="BK86" s="23">
        <f>BK88+BK89+BK87</f>
        <v>1010.7</v>
      </c>
      <c r="BL86" s="24">
        <f>BL88+BL89+BL87</f>
        <v>1025</v>
      </c>
      <c r="BM86" s="24">
        <v>1025</v>
      </c>
      <c r="BN86" s="25">
        <v>1025</v>
      </c>
      <c r="BO86" s="29">
        <v>1025</v>
      </c>
      <c r="BP86" s="21">
        <v>1025</v>
      </c>
      <c r="BQ86" s="22">
        <f t="shared" si="66"/>
        <v>156.96507401531102</v>
      </c>
      <c r="BR86" s="21">
        <f t="shared" ref="BR86" si="79">BR88+BR89</f>
        <v>844.1</v>
      </c>
      <c r="BS86" s="22">
        <f t="shared" si="67"/>
        <v>82.351219512195129</v>
      </c>
      <c r="BT86" s="22">
        <f t="shared" si="68"/>
        <v>114.17557148654134</v>
      </c>
      <c r="BU86" s="21">
        <f>BU88+BU89</f>
        <v>917</v>
      </c>
      <c r="BV86" s="22">
        <f t="shared" si="69"/>
        <v>108.63641748607984</v>
      </c>
      <c r="BW86" s="22">
        <f t="shared" si="70"/>
        <v>120.35700223126395</v>
      </c>
      <c r="BX86" s="21">
        <f>BX88+BX89</f>
        <v>991.2</v>
      </c>
      <c r="BY86" s="22">
        <f t="shared" si="71"/>
        <v>108.09160305343512</v>
      </c>
    </row>
    <row r="87" spans="1:78" ht="22.5" hidden="1" customHeight="1" x14ac:dyDescent="0.25">
      <c r="A87" s="11" t="s">
        <v>213</v>
      </c>
      <c r="B87" s="38" t="s">
        <v>214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2">
        <v>2.04</v>
      </c>
      <c r="AB87" s="22">
        <v>2.04</v>
      </c>
      <c r="AC87" s="22">
        <v>2.04</v>
      </c>
      <c r="AD87" s="21"/>
      <c r="AE87" s="22"/>
      <c r="AF87" s="22"/>
      <c r="AG87" s="22"/>
      <c r="AH87" s="21"/>
      <c r="AI87" s="21"/>
      <c r="AJ87" s="21"/>
      <c r="AK87" s="22">
        <v>2.2000000000000002</v>
      </c>
      <c r="AL87" s="22">
        <v>2.1930000000000001</v>
      </c>
      <c r="AM87" s="22">
        <v>2.1930000000000001</v>
      </c>
      <c r="AN87" s="21"/>
      <c r="AO87" s="21"/>
      <c r="AP87" s="21"/>
      <c r="AQ87" s="21"/>
      <c r="AR87" s="21"/>
      <c r="AS87" s="21"/>
      <c r="AT87" s="22">
        <v>78.099999999999994</v>
      </c>
      <c r="AU87" s="22">
        <v>78.099999999999994</v>
      </c>
      <c r="AV87" s="22">
        <v>78.08</v>
      </c>
      <c r="AW87" s="22">
        <v>78.08</v>
      </c>
      <c r="AX87" s="21"/>
      <c r="AY87" s="21"/>
      <c r="AZ87" s="21"/>
      <c r="BA87" s="21"/>
      <c r="BB87" s="21"/>
      <c r="BC87" s="21"/>
      <c r="BD87" s="21"/>
      <c r="BE87" s="21"/>
      <c r="BF87" s="22"/>
      <c r="BG87" s="22">
        <f t="shared" si="51"/>
        <v>0</v>
      </c>
      <c r="BH87" s="21"/>
      <c r="BI87" s="21"/>
      <c r="BJ87" s="21"/>
      <c r="BK87" s="21">
        <v>299.2</v>
      </c>
      <c r="BL87" s="29">
        <v>299.2</v>
      </c>
      <c r="BM87" s="29"/>
      <c r="BN87" s="25"/>
      <c r="BO87" s="29"/>
      <c r="BP87" s="21"/>
      <c r="BQ87" s="22" t="e">
        <f t="shared" si="66"/>
        <v>#DIV/0!</v>
      </c>
      <c r="BR87" s="21"/>
      <c r="BS87" s="22" t="e">
        <f t="shared" si="67"/>
        <v>#DIV/0!</v>
      </c>
      <c r="BT87" s="22" t="e">
        <f t="shared" si="68"/>
        <v>#DIV/0!</v>
      </c>
      <c r="BU87" s="21"/>
      <c r="BV87" s="22" t="e">
        <f t="shared" si="69"/>
        <v>#DIV/0!</v>
      </c>
      <c r="BW87" s="22" t="e">
        <f t="shared" si="70"/>
        <v>#DIV/0!</v>
      </c>
      <c r="BX87" s="21"/>
      <c r="BY87" s="22" t="e">
        <f t="shared" si="71"/>
        <v>#DIV/0!</v>
      </c>
    </row>
    <row r="88" spans="1:78" ht="22.5" hidden="1" customHeight="1" x14ac:dyDescent="0.25">
      <c r="A88" s="11" t="s">
        <v>215</v>
      </c>
      <c r="B88" s="38" t="s">
        <v>216</v>
      </c>
      <c r="C88" s="22">
        <v>55</v>
      </c>
      <c r="D88" s="22">
        <v>94</v>
      </c>
      <c r="E88" s="22">
        <v>94</v>
      </c>
      <c r="F88" s="22">
        <v>94</v>
      </c>
      <c r="G88" s="22">
        <v>85</v>
      </c>
      <c r="H88" s="22">
        <v>111.5</v>
      </c>
      <c r="I88" s="22">
        <v>111.5</v>
      </c>
      <c r="J88" s="22">
        <v>99</v>
      </c>
      <c r="K88" s="22">
        <v>99</v>
      </c>
      <c r="L88" s="22">
        <v>99</v>
      </c>
      <c r="M88" s="22">
        <v>99</v>
      </c>
      <c r="N88" s="22">
        <v>88</v>
      </c>
      <c r="O88" s="22">
        <v>88</v>
      </c>
      <c r="P88" s="22">
        <v>88</v>
      </c>
      <c r="Q88" s="22">
        <v>88</v>
      </c>
      <c r="R88" s="22">
        <v>101</v>
      </c>
      <c r="S88" s="22">
        <v>101</v>
      </c>
      <c r="T88" s="22">
        <v>101</v>
      </c>
      <c r="U88" s="22">
        <v>101</v>
      </c>
      <c r="V88" s="22">
        <v>97</v>
      </c>
      <c r="W88" s="22">
        <v>97</v>
      </c>
      <c r="X88" s="22">
        <v>97</v>
      </c>
      <c r="Y88" s="22">
        <v>97</v>
      </c>
      <c r="Z88" s="22">
        <v>100</v>
      </c>
      <c r="AA88" s="22">
        <v>100</v>
      </c>
      <c r="AB88" s="22">
        <v>100</v>
      </c>
      <c r="AC88" s="22">
        <v>100</v>
      </c>
      <c r="AD88" s="22">
        <v>79.400000000000006</v>
      </c>
      <c r="AE88" s="22">
        <v>113.1</v>
      </c>
      <c r="AF88" s="22">
        <v>113.1</v>
      </c>
      <c r="AG88" s="22">
        <v>113.1</v>
      </c>
      <c r="AH88" s="22">
        <f>22.1+87.8</f>
        <v>109.9</v>
      </c>
      <c r="AI88" s="22">
        <f>22.1+87.8</f>
        <v>109.9</v>
      </c>
      <c r="AJ88" s="22">
        <f>22.1+87.8</f>
        <v>109.9</v>
      </c>
      <c r="AK88" s="22">
        <v>109.9</v>
      </c>
      <c r="AL88" s="22">
        <v>109.9</v>
      </c>
      <c r="AM88" s="22">
        <v>109.9</v>
      </c>
      <c r="AN88" s="22">
        <v>100.6</v>
      </c>
      <c r="AO88" s="22">
        <v>100.6</v>
      </c>
      <c r="AP88" s="22">
        <v>100.6</v>
      </c>
      <c r="AQ88" s="22">
        <v>100.6</v>
      </c>
      <c r="AR88" s="22">
        <v>100.6</v>
      </c>
      <c r="AS88" s="22"/>
      <c r="AT88" s="22">
        <v>100.6</v>
      </c>
      <c r="AU88" s="22">
        <v>100.6</v>
      </c>
      <c r="AV88" s="22">
        <v>100.6</v>
      </c>
      <c r="AW88" s="22">
        <v>100.6</v>
      </c>
      <c r="AX88" s="22">
        <v>103.9</v>
      </c>
      <c r="AY88" s="22">
        <v>103.9</v>
      </c>
      <c r="AZ88" s="22">
        <v>103.9</v>
      </c>
      <c r="BA88" s="22">
        <v>103.9</v>
      </c>
      <c r="BB88" s="22">
        <v>103.9</v>
      </c>
      <c r="BC88" s="22">
        <v>103.9</v>
      </c>
      <c r="BD88" s="22">
        <v>103.9</v>
      </c>
      <c r="BE88" s="22">
        <v>103.9</v>
      </c>
      <c r="BF88" s="22">
        <v>103.9</v>
      </c>
      <c r="BG88" s="22">
        <f t="shared" si="51"/>
        <v>103.28031809145131</v>
      </c>
      <c r="BH88" s="22">
        <v>116.8</v>
      </c>
      <c r="BI88" s="22">
        <v>116.8</v>
      </c>
      <c r="BJ88" s="22">
        <v>116.8</v>
      </c>
      <c r="BK88" s="21">
        <v>116.8</v>
      </c>
      <c r="BL88" s="29">
        <v>131.1</v>
      </c>
      <c r="BM88" s="29"/>
      <c r="BN88" s="25"/>
      <c r="BO88" s="29"/>
      <c r="BP88" s="22"/>
      <c r="BQ88" s="22">
        <f t="shared" si="66"/>
        <v>0</v>
      </c>
      <c r="BR88" s="22">
        <v>143.6</v>
      </c>
      <c r="BS88" s="22" t="e">
        <f t="shared" si="67"/>
        <v>#DIV/0!</v>
      </c>
      <c r="BT88" s="22">
        <f t="shared" si="68"/>
        <v>122.94520547945204</v>
      </c>
      <c r="BU88" s="22">
        <v>143.6</v>
      </c>
      <c r="BV88" s="22">
        <f t="shared" si="69"/>
        <v>100</v>
      </c>
      <c r="BW88" s="22">
        <f t="shared" si="70"/>
        <v>122.94520547945204</v>
      </c>
      <c r="BX88" s="22">
        <v>143.6</v>
      </c>
      <c r="BY88" s="22">
        <f t="shared" si="71"/>
        <v>100</v>
      </c>
    </row>
    <row r="89" spans="1:78" ht="22.5" hidden="1" customHeight="1" x14ac:dyDescent="0.25">
      <c r="A89" s="11" t="s">
        <v>217</v>
      </c>
      <c r="B89" s="38" t="s">
        <v>218</v>
      </c>
      <c r="C89" s="22">
        <v>540.70000000000005</v>
      </c>
      <c r="D89" s="22">
        <v>503.9</v>
      </c>
      <c r="E89" s="22">
        <v>503.9</v>
      </c>
      <c r="F89" s="22">
        <v>503.9</v>
      </c>
      <c r="G89" s="22">
        <v>282</v>
      </c>
      <c r="H89" s="22">
        <v>400.9</v>
      </c>
      <c r="I89" s="22">
        <v>400.84440999999998</v>
      </c>
      <c r="J89" s="22">
        <v>780</v>
      </c>
      <c r="K89" s="22">
        <v>780</v>
      </c>
      <c r="L89" s="22">
        <v>780</v>
      </c>
      <c r="M89" s="22">
        <v>780</v>
      </c>
      <c r="N89" s="22">
        <v>788</v>
      </c>
      <c r="O89" s="22">
        <v>610.4</v>
      </c>
      <c r="P89" s="22">
        <v>610.4</v>
      </c>
      <c r="Q89" s="22">
        <v>610.4</v>
      </c>
      <c r="R89" s="22">
        <v>788</v>
      </c>
      <c r="S89" s="22">
        <v>552</v>
      </c>
      <c r="T89" s="22">
        <v>552</v>
      </c>
      <c r="U89" s="22">
        <v>552</v>
      </c>
      <c r="V89" s="22">
        <v>378.2</v>
      </c>
      <c r="W89" s="22">
        <v>378.2</v>
      </c>
      <c r="X89" s="22">
        <v>378.2</v>
      </c>
      <c r="Y89" s="22">
        <v>378.2</v>
      </c>
      <c r="Z89" s="22">
        <v>393.8</v>
      </c>
      <c r="AA89" s="22">
        <v>393.8</v>
      </c>
      <c r="AB89" s="22">
        <v>393.8</v>
      </c>
      <c r="AC89" s="22">
        <v>393.8</v>
      </c>
      <c r="AD89" s="22">
        <v>435.5</v>
      </c>
      <c r="AE89" s="22">
        <v>435.5</v>
      </c>
      <c r="AF89" s="22">
        <v>435.5</v>
      </c>
      <c r="AG89" s="22">
        <v>435.5</v>
      </c>
      <c r="AH89" s="22">
        <v>438</v>
      </c>
      <c r="AI89" s="22">
        <v>442.1</v>
      </c>
      <c r="AJ89" s="22">
        <v>455.2</v>
      </c>
      <c r="AK89" s="22">
        <v>481</v>
      </c>
      <c r="AL89" s="22">
        <v>481</v>
      </c>
      <c r="AM89" s="22">
        <v>481</v>
      </c>
      <c r="AN89" s="22">
        <v>466.4</v>
      </c>
      <c r="AO89" s="22">
        <v>466.4</v>
      </c>
      <c r="AP89" s="22">
        <v>466.4</v>
      </c>
      <c r="AQ89" s="22">
        <v>466.4</v>
      </c>
      <c r="AR89" s="22">
        <v>466.4</v>
      </c>
      <c r="AS89" s="22"/>
      <c r="AT89" s="22">
        <v>524.1</v>
      </c>
      <c r="AU89" s="22">
        <v>524.1</v>
      </c>
      <c r="AV89" s="22">
        <v>524.09699999999998</v>
      </c>
      <c r="AW89" s="22">
        <v>524.09699999999998</v>
      </c>
      <c r="AX89" s="22">
        <v>493.8</v>
      </c>
      <c r="AY89" s="22">
        <v>510.5</v>
      </c>
      <c r="AZ89" s="22">
        <v>528.4</v>
      </c>
      <c r="BA89" s="22">
        <v>493.8</v>
      </c>
      <c r="BB89" s="22">
        <v>493.8</v>
      </c>
      <c r="BC89" s="22">
        <v>549.1</v>
      </c>
      <c r="BD89" s="22">
        <v>549.1</v>
      </c>
      <c r="BE89" s="22">
        <v>549.11150999999995</v>
      </c>
      <c r="BF89" s="22">
        <v>549.11150999999995</v>
      </c>
      <c r="BG89" s="22">
        <f t="shared" si="51"/>
        <v>104.77287792145347</v>
      </c>
      <c r="BH89" s="22">
        <v>594.70000000000005</v>
      </c>
      <c r="BI89" s="22">
        <v>622.5</v>
      </c>
      <c r="BJ89" s="22">
        <v>645.1</v>
      </c>
      <c r="BK89" s="21">
        <v>594.70000000000005</v>
      </c>
      <c r="BL89" s="29">
        <v>594.70000000000005</v>
      </c>
      <c r="BM89" s="29"/>
      <c r="BN89" s="25"/>
      <c r="BO89" s="29"/>
      <c r="BP89" s="22"/>
      <c r="BQ89" s="22">
        <f t="shared" si="66"/>
        <v>0</v>
      </c>
      <c r="BR89" s="22">
        <v>700.5</v>
      </c>
      <c r="BS89" s="22" t="e">
        <f t="shared" si="67"/>
        <v>#DIV/0!</v>
      </c>
      <c r="BT89" s="22">
        <f t="shared" si="68"/>
        <v>112.53012048192772</v>
      </c>
      <c r="BU89" s="22">
        <v>773.4</v>
      </c>
      <c r="BV89" s="22">
        <f t="shared" si="69"/>
        <v>110.40685224839399</v>
      </c>
      <c r="BW89" s="22">
        <f t="shared" si="70"/>
        <v>119.88838939699271</v>
      </c>
      <c r="BX89" s="22">
        <v>847.6</v>
      </c>
      <c r="BY89" s="22">
        <f t="shared" si="71"/>
        <v>109.5940005171968</v>
      </c>
    </row>
    <row r="90" spans="1:78" ht="22.5" customHeight="1" x14ac:dyDescent="0.25">
      <c r="A90" s="19" t="s">
        <v>219</v>
      </c>
      <c r="B90" s="20" t="s">
        <v>220</v>
      </c>
      <c r="C90" s="21">
        <f t="shared" ref="C90:J90" si="80">C93</f>
        <v>3649.0920000000001</v>
      </c>
      <c r="D90" s="21">
        <f t="shared" si="80"/>
        <v>0</v>
      </c>
      <c r="E90" s="21">
        <f t="shared" si="80"/>
        <v>1357.2</v>
      </c>
      <c r="F90" s="21">
        <f t="shared" si="80"/>
        <v>1357.10265</v>
      </c>
      <c r="G90" s="21">
        <f t="shared" si="80"/>
        <v>0</v>
      </c>
      <c r="H90" s="21">
        <f t="shared" si="80"/>
        <v>2097.4</v>
      </c>
      <c r="I90" s="21">
        <f t="shared" si="80"/>
        <v>2095.3605499999999</v>
      </c>
      <c r="J90" s="21">
        <f t="shared" si="80"/>
        <v>2839</v>
      </c>
      <c r="K90" s="21">
        <f>K93+K92</f>
        <v>5046.5</v>
      </c>
      <c r="L90" s="21">
        <f>L93+L92</f>
        <v>5033.9957200000008</v>
      </c>
      <c r="M90" s="21">
        <f>M93+M92</f>
        <v>3776.9957199999999</v>
      </c>
      <c r="N90" s="21">
        <f>N93</f>
        <v>2866.4</v>
      </c>
      <c r="O90" s="21">
        <f>O93+O92+O91</f>
        <v>16891.599999999999</v>
      </c>
      <c r="P90" s="21">
        <f>P93+P92+P91</f>
        <v>16500.155650000001</v>
      </c>
      <c r="Q90" s="21">
        <f>Q93+Q92+Q91</f>
        <v>16500.155650000001</v>
      </c>
      <c r="R90" s="21">
        <f>R93</f>
        <v>15588.900000000001</v>
      </c>
      <c r="S90" s="21">
        <f>S93+S92+S91</f>
        <v>17582.2</v>
      </c>
      <c r="T90" s="21">
        <f>T93+T92+T91</f>
        <v>17582.15799</v>
      </c>
      <c r="U90" s="21">
        <f>U93+U92+U91</f>
        <v>16750.457989999999</v>
      </c>
      <c r="V90" s="21">
        <f>V93</f>
        <v>3385.5</v>
      </c>
      <c r="W90" s="21">
        <f>W93+W92+W91</f>
        <v>24735.200000000001</v>
      </c>
      <c r="X90" s="21">
        <f>X93+X92+X91</f>
        <v>24650.823359999999</v>
      </c>
      <c r="Y90" s="21">
        <f>Y93+Y92+Y91</f>
        <v>24650.823359999999</v>
      </c>
      <c r="Z90" s="21">
        <f>Z93</f>
        <v>1378.3</v>
      </c>
      <c r="AA90" s="21">
        <f>AA93+AA92+AA91</f>
        <v>5369</v>
      </c>
      <c r="AB90" s="21">
        <f>AB93+AB92+AB91</f>
        <v>5368.9667399999998</v>
      </c>
      <c r="AC90" s="21">
        <f>AC93+AC92+AC91</f>
        <v>5368.9667399999998</v>
      </c>
      <c r="AD90" s="21">
        <f>AD93</f>
        <v>3444.3</v>
      </c>
      <c r="AE90" s="21">
        <f>AE93+AE92+AE91</f>
        <v>12296.5</v>
      </c>
      <c r="AF90" s="21">
        <f>AF93+AF92+AF91</f>
        <v>12296.59355</v>
      </c>
      <c r="AG90" s="21">
        <f>AG93+AG92+AG91</f>
        <v>12296.59355</v>
      </c>
      <c r="AH90" s="21">
        <f>AH93</f>
        <v>6628.5</v>
      </c>
      <c r="AI90" s="21">
        <f>AI93</f>
        <v>5972.4</v>
      </c>
      <c r="AJ90" s="21">
        <f>AJ93</f>
        <v>5972.4</v>
      </c>
      <c r="AK90" s="21">
        <f>AK93+AK92+AK91</f>
        <v>39952.1</v>
      </c>
      <c r="AL90" s="21">
        <f>AL93+AL92+AL91</f>
        <v>39952.047599999998</v>
      </c>
      <c r="AM90" s="21">
        <f>AM93+AM92+AM91</f>
        <v>39952.047599999998</v>
      </c>
      <c r="AN90" s="21">
        <f>AN93</f>
        <v>1790.4</v>
      </c>
      <c r="AO90" s="21">
        <f>AO93</f>
        <v>1790.4</v>
      </c>
      <c r="AP90" s="21">
        <f>AP93</f>
        <v>1790.4</v>
      </c>
      <c r="AQ90" s="21">
        <v>2565.1999999999998</v>
      </c>
      <c r="AR90" s="21">
        <v>4693</v>
      </c>
      <c r="AS90" s="21">
        <v>22451</v>
      </c>
      <c r="AT90" s="21">
        <f>AT93+AT92+AT91</f>
        <v>25075.7</v>
      </c>
      <c r="AU90" s="21">
        <f>AU93+AU92+AU91</f>
        <v>31302.7</v>
      </c>
      <c r="AV90" s="21">
        <f>AV93+AV92+AV91</f>
        <v>31113.612809999999</v>
      </c>
      <c r="AW90" s="21">
        <f>AW93+AW92+AW91</f>
        <v>31113.612809999999</v>
      </c>
      <c r="AX90" s="21">
        <f t="shared" ref="AX90" si="81">AX93</f>
        <v>21606.3</v>
      </c>
      <c r="AY90" s="21">
        <f>AY93</f>
        <v>6292.6</v>
      </c>
      <c r="AZ90" s="21">
        <f>AZ93</f>
        <v>5178.3</v>
      </c>
      <c r="BA90" s="21">
        <v>25405.599999999999</v>
      </c>
      <c r="BB90" s="21">
        <v>30965.4</v>
      </c>
      <c r="BC90" s="21">
        <f t="shared" ref="BC90:BH90" si="82">BC93</f>
        <v>18194</v>
      </c>
      <c r="BD90" s="21">
        <f t="shared" si="82"/>
        <v>42264.6</v>
      </c>
      <c r="BE90" s="21">
        <f t="shared" si="82"/>
        <v>42260.086860000003</v>
      </c>
      <c r="BF90" s="21">
        <f>BF93+BF92+BF91</f>
        <v>42260.086860000003</v>
      </c>
      <c r="BG90" s="22">
        <f t="shared" si="51"/>
        <v>135.82507154687448</v>
      </c>
      <c r="BH90" s="21">
        <f t="shared" si="82"/>
        <v>17031.5</v>
      </c>
      <c r="BI90" s="21">
        <f>BI93</f>
        <v>9154.7000000000007</v>
      </c>
      <c r="BJ90" s="21">
        <f>BJ93</f>
        <v>8547.5</v>
      </c>
      <c r="BK90" s="23">
        <f>BK93</f>
        <v>18815.400000000001</v>
      </c>
      <c r="BL90" s="24">
        <f>BL93</f>
        <v>28454</v>
      </c>
      <c r="BM90" s="24">
        <v>29651.7</v>
      </c>
      <c r="BN90" s="25">
        <v>34911.4</v>
      </c>
      <c r="BO90" s="29">
        <v>37337.4</v>
      </c>
      <c r="BP90" s="21">
        <f t="shared" ref="BP90:BR90" si="83">BP93</f>
        <v>37440.800000000003</v>
      </c>
      <c r="BQ90" s="22">
        <f t="shared" si="66"/>
        <v>88.596126468065663</v>
      </c>
      <c r="BR90" s="21">
        <f t="shared" si="83"/>
        <v>22721.1</v>
      </c>
      <c r="BS90" s="22">
        <f t="shared" si="67"/>
        <v>60.685402021324322</v>
      </c>
      <c r="BT90" s="22">
        <f t="shared" si="68"/>
        <v>248.19054693217689</v>
      </c>
      <c r="BU90" s="21">
        <f>BU93</f>
        <v>10654.4</v>
      </c>
      <c r="BV90" s="22">
        <f t="shared" si="69"/>
        <v>46.892095893244608</v>
      </c>
      <c r="BW90" s="22">
        <f t="shared" si="70"/>
        <v>124.6493126645218</v>
      </c>
      <c r="BX90" s="21">
        <f>BX93</f>
        <v>8382.1</v>
      </c>
      <c r="BY90" s="22">
        <f t="shared" si="71"/>
        <v>78.672661060219269</v>
      </c>
    </row>
    <row r="91" spans="1:78" ht="22.5" hidden="1" customHeight="1" x14ac:dyDescent="0.25">
      <c r="A91" s="11" t="s">
        <v>221</v>
      </c>
      <c r="B91" s="39" t="s">
        <v>222</v>
      </c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>
        <v>4220.3999999999996</v>
      </c>
      <c r="P91" s="21">
        <v>4220.4380000000001</v>
      </c>
      <c r="Q91" s="21">
        <v>4220.4380000000001</v>
      </c>
      <c r="R91" s="21"/>
      <c r="S91" s="21"/>
      <c r="T91" s="21"/>
      <c r="U91" s="22"/>
      <c r="V91" s="21"/>
      <c r="W91" s="21"/>
      <c r="X91" s="21"/>
      <c r="Y91" s="22"/>
      <c r="Z91" s="21"/>
      <c r="AA91" s="21"/>
      <c r="AB91" s="21"/>
      <c r="AC91" s="22"/>
      <c r="AD91" s="21"/>
      <c r="AE91" s="21"/>
      <c r="AF91" s="21"/>
      <c r="AG91" s="22"/>
      <c r="AH91" s="21"/>
      <c r="AI91" s="21"/>
      <c r="AJ91" s="21"/>
      <c r="AK91" s="21"/>
      <c r="AL91" s="21"/>
      <c r="AM91" s="22"/>
      <c r="AN91" s="21"/>
      <c r="AO91" s="21"/>
      <c r="AP91" s="21"/>
      <c r="AQ91" s="21"/>
      <c r="AR91" s="21"/>
      <c r="AS91" s="21"/>
      <c r="AT91" s="21"/>
      <c r="AU91" s="21"/>
      <c r="AV91" s="21"/>
      <c r="AW91" s="22"/>
      <c r="AX91" s="21"/>
      <c r="AY91" s="21"/>
      <c r="AZ91" s="21"/>
      <c r="BA91" s="21"/>
      <c r="BB91" s="21"/>
      <c r="BC91" s="21"/>
      <c r="BD91" s="21"/>
      <c r="BE91" s="21"/>
      <c r="BF91" s="22"/>
      <c r="BG91" s="22" t="e">
        <f t="shared" si="51"/>
        <v>#DIV/0!</v>
      </c>
      <c r="BH91" s="21"/>
      <c r="BI91" s="21"/>
      <c r="BJ91" s="21"/>
      <c r="BK91" s="21"/>
      <c r="BL91" s="29"/>
      <c r="BM91" s="29"/>
      <c r="BN91" s="25"/>
      <c r="BO91" s="29"/>
      <c r="BP91" s="21"/>
      <c r="BQ91" s="22" t="e">
        <f t="shared" si="66"/>
        <v>#DIV/0!</v>
      </c>
      <c r="BR91" s="21"/>
      <c r="BS91" s="22" t="e">
        <f t="shared" si="67"/>
        <v>#DIV/0!</v>
      </c>
      <c r="BT91" s="22" t="e">
        <f t="shared" si="68"/>
        <v>#DIV/0!</v>
      </c>
      <c r="BU91" s="21"/>
      <c r="BV91" s="22" t="e">
        <f t="shared" si="69"/>
        <v>#DIV/0!</v>
      </c>
      <c r="BW91" s="22" t="e">
        <f t="shared" si="70"/>
        <v>#DIV/0!</v>
      </c>
      <c r="BX91" s="21"/>
      <c r="BY91" s="22" t="e">
        <f t="shared" si="71"/>
        <v>#DIV/0!</v>
      </c>
    </row>
    <row r="92" spans="1:78" ht="22.5" hidden="1" customHeight="1" x14ac:dyDescent="0.25">
      <c r="A92" s="33" t="s">
        <v>223</v>
      </c>
      <c r="B92" s="30" t="s">
        <v>224</v>
      </c>
      <c r="C92" s="21"/>
      <c r="D92" s="21"/>
      <c r="E92" s="21"/>
      <c r="F92" s="21"/>
      <c r="G92" s="21"/>
      <c r="H92" s="21"/>
      <c r="I92" s="21"/>
      <c r="J92" s="21"/>
      <c r="K92" s="21">
        <v>269.89999999999998</v>
      </c>
      <c r="L92" s="21">
        <v>269.96859000000001</v>
      </c>
      <c r="M92" s="21">
        <v>269.96859000000001</v>
      </c>
      <c r="N92" s="21"/>
      <c r="O92" s="21"/>
      <c r="P92" s="21"/>
      <c r="Q92" s="21">
        <v>0</v>
      </c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2" t="e">
        <f t="shared" si="51"/>
        <v>#DIV/0!</v>
      </c>
      <c r="BH92" s="21"/>
      <c r="BI92" s="21"/>
      <c r="BJ92" s="21"/>
      <c r="BK92" s="21"/>
      <c r="BL92" s="29"/>
      <c r="BM92" s="29"/>
      <c r="BN92" s="25"/>
      <c r="BO92" s="29"/>
      <c r="BP92" s="21"/>
      <c r="BQ92" s="22" t="e">
        <f t="shared" si="66"/>
        <v>#DIV/0!</v>
      </c>
      <c r="BR92" s="21"/>
      <c r="BS92" s="22" t="e">
        <f t="shared" si="67"/>
        <v>#DIV/0!</v>
      </c>
      <c r="BT92" s="22" t="e">
        <f t="shared" si="68"/>
        <v>#DIV/0!</v>
      </c>
      <c r="BU92" s="21"/>
      <c r="BV92" s="22" t="e">
        <f t="shared" si="69"/>
        <v>#DIV/0!</v>
      </c>
      <c r="BW92" s="22" t="e">
        <f t="shared" si="70"/>
        <v>#DIV/0!</v>
      </c>
      <c r="BX92" s="21"/>
      <c r="BY92" s="22" t="e">
        <f t="shared" si="71"/>
        <v>#DIV/0!</v>
      </c>
    </row>
    <row r="93" spans="1:78" ht="22.5" hidden="1" customHeight="1" x14ac:dyDescent="0.25">
      <c r="A93" s="11" t="s">
        <v>225</v>
      </c>
      <c r="B93" s="39" t="s">
        <v>226</v>
      </c>
      <c r="C93" s="22">
        <v>3649.0920000000001</v>
      </c>
      <c r="D93" s="22">
        <v>0</v>
      </c>
      <c r="E93" s="22">
        <v>1357.2</v>
      </c>
      <c r="F93" s="22">
        <v>1357.10265</v>
      </c>
      <c r="G93" s="22">
        <v>0</v>
      </c>
      <c r="H93" s="22">
        <v>2097.4</v>
      </c>
      <c r="I93" s="22">
        <v>2095.3605499999999</v>
      </c>
      <c r="J93" s="22">
        <f>1582+1257</f>
        <v>2839</v>
      </c>
      <c r="K93" s="22">
        <f>3519.6+1257</f>
        <v>4776.6000000000004</v>
      </c>
      <c r="L93" s="22">
        <f>3507.02713+1257</f>
        <v>4764.0271300000004</v>
      </c>
      <c r="M93" s="22">
        <v>3507.0271299999999</v>
      </c>
      <c r="N93" s="22">
        <f>1883.7+982.7</f>
        <v>2866.4</v>
      </c>
      <c r="O93" s="22">
        <f>11688.5+982.7</f>
        <v>12671.2</v>
      </c>
      <c r="P93" s="22">
        <f>9910.88957+1386.12808+982.7</f>
        <v>12279.717650000001</v>
      </c>
      <c r="Q93" s="22">
        <f>9910.88957+1386.12808+982.7</f>
        <v>12279.717650000001</v>
      </c>
      <c r="R93" s="22">
        <f>14757.2+831.7</f>
        <v>15588.900000000001</v>
      </c>
      <c r="S93" s="22">
        <f>16750.5+831.7</f>
        <v>17582.2</v>
      </c>
      <c r="T93" s="22">
        <f>16750.45799+831.7</f>
        <v>17582.15799</v>
      </c>
      <c r="U93" s="22">
        <v>16750.457989999999</v>
      </c>
      <c r="V93" s="22">
        <v>3385.5</v>
      </c>
      <c r="W93" s="22">
        <v>24735.200000000001</v>
      </c>
      <c r="X93" s="22">
        <v>24650.823359999999</v>
      </c>
      <c r="Y93" s="22">
        <v>24650.823359999999</v>
      </c>
      <c r="Z93" s="22">
        <v>1378.3</v>
      </c>
      <c r="AA93" s="22">
        <v>5369</v>
      </c>
      <c r="AB93" s="22">
        <v>5368.9667399999998</v>
      </c>
      <c r="AC93" s="22">
        <v>5368.9667399999998</v>
      </c>
      <c r="AD93" s="22">
        <v>3444.3</v>
      </c>
      <c r="AE93" s="22">
        <v>12296.5</v>
      </c>
      <c r="AF93" s="22">
        <v>12296.59355</v>
      </c>
      <c r="AG93" s="22">
        <v>12296.59355</v>
      </c>
      <c r="AH93" s="21">
        <v>6628.5</v>
      </c>
      <c r="AI93" s="21">
        <v>5972.4</v>
      </c>
      <c r="AJ93" s="21">
        <v>5972.4</v>
      </c>
      <c r="AK93" s="22">
        <v>39952.1</v>
      </c>
      <c r="AL93" s="22">
        <v>39952.047599999998</v>
      </c>
      <c r="AM93" s="22">
        <v>39952.047599999998</v>
      </c>
      <c r="AN93" s="21">
        <v>1790.4</v>
      </c>
      <c r="AO93" s="21">
        <v>1790.4</v>
      </c>
      <c r="AP93" s="21">
        <v>1790.4</v>
      </c>
      <c r="AQ93" s="21">
        <v>1790.4</v>
      </c>
      <c r="AR93" s="21">
        <v>1790.4</v>
      </c>
      <c r="AS93" s="21"/>
      <c r="AT93" s="22">
        <v>25075.7</v>
      </c>
      <c r="AU93" s="22">
        <v>31302.7</v>
      </c>
      <c r="AV93" s="22">
        <v>31113.612809999999</v>
      </c>
      <c r="AW93" s="22">
        <v>31113.612809999999</v>
      </c>
      <c r="AX93" s="21">
        <v>21606.3</v>
      </c>
      <c r="AY93" s="21">
        <v>6292.6</v>
      </c>
      <c r="AZ93" s="21">
        <v>5178.3</v>
      </c>
      <c r="BA93" s="21"/>
      <c r="BB93" s="21">
        <v>21608.3</v>
      </c>
      <c r="BC93" s="21">
        <f>SUM(BC94:BC114)</f>
        <v>18194</v>
      </c>
      <c r="BD93" s="21">
        <v>42264.6</v>
      </c>
      <c r="BE93" s="21">
        <v>42260.086860000003</v>
      </c>
      <c r="BF93" s="22">
        <v>42260.086860000003</v>
      </c>
      <c r="BG93" s="22">
        <f t="shared" si="51"/>
        <v>135.82507154687448</v>
      </c>
      <c r="BH93" s="21">
        <v>17031.5</v>
      </c>
      <c r="BI93" s="21">
        <v>9154.7000000000007</v>
      </c>
      <c r="BJ93" s="21">
        <v>8547.5</v>
      </c>
      <c r="BK93" s="21">
        <v>18815.400000000001</v>
      </c>
      <c r="BL93" s="29">
        <v>28454</v>
      </c>
      <c r="BM93" s="29"/>
      <c r="BN93" s="25">
        <v>34911.4</v>
      </c>
      <c r="BO93" s="24">
        <v>37337.4</v>
      </c>
      <c r="BP93" s="21">
        <v>37440.800000000003</v>
      </c>
      <c r="BQ93" s="22">
        <f t="shared" si="66"/>
        <v>88.596126468065663</v>
      </c>
      <c r="BR93" s="21">
        <v>22721.1</v>
      </c>
      <c r="BS93" s="22">
        <f t="shared" si="67"/>
        <v>60.685402021324322</v>
      </c>
      <c r="BT93" s="22">
        <f t="shared" si="68"/>
        <v>248.19054693217689</v>
      </c>
      <c r="BU93" s="21">
        <v>10654.4</v>
      </c>
      <c r="BV93" s="22">
        <f t="shared" si="69"/>
        <v>46.892095893244608</v>
      </c>
      <c r="BW93" s="22">
        <f t="shared" si="70"/>
        <v>124.6493126645218</v>
      </c>
      <c r="BX93" s="21">
        <v>8382.1</v>
      </c>
      <c r="BY93" s="22">
        <f t="shared" si="71"/>
        <v>78.672661060219269</v>
      </c>
    </row>
    <row r="94" spans="1:78" ht="21" hidden="1" customHeight="1" x14ac:dyDescent="0.25">
      <c r="A94" s="11"/>
      <c r="B94" s="39" t="s">
        <v>227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>
        <v>3109.3</v>
      </c>
      <c r="P94" s="22">
        <v>2717.9247300000002</v>
      </c>
      <c r="Q94" s="22">
        <v>2717.9247300000002</v>
      </c>
      <c r="R94" s="22">
        <v>2612</v>
      </c>
      <c r="S94" s="22">
        <v>3003.4</v>
      </c>
      <c r="T94" s="22">
        <v>3003.4</v>
      </c>
      <c r="U94" s="22"/>
      <c r="V94" s="22">
        <v>969.4</v>
      </c>
      <c r="W94" s="22">
        <v>969.4</v>
      </c>
      <c r="X94" s="22">
        <v>969.39994999999999</v>
      </c>
      <c r="Y94" s="22"/>
      <c r="Z94" s="22">
        <v>1200.3</v>
      </c>
      <c r="AA94" s="22">
        <v>1200.3</v>
      </c>
      <c r="AB94" s="22">
        <v>1200.325</v>
      </c>
      <c r="AC94" s="22"/>
      <c r="AD94" s="22">
        <f>1082.1+2300</f>
        <v>3382.1</v>
      </c>
      <c r="AE94" s="22">
        <f>1082.1+2300</f>
        <v>3382.1</v>
      </c>
      <c r="AF94" s="22">
        <f>1082.1+2300</f>
        <v>3382.1</v>
      </c>
      <c r="AG94" s="22"/>
      <c r="AH94" s="22">
        <v>5150</v>
      </c>
      <c r="AI94" s="22">
        <v>5150</v>
      </c>
      <c r="AJ94" s="22">
        <v>5150</v>
      </c>
      <c r="AK94" s="22">
        <v>5150</v>
      </c>
      <c r="AL94" s="22">
        <v>5150</v>
      </c>
      <c r="AM94" s="22"/>
      <c r="AN94" s="22">
        <v>1150</v>
      </c>
      <c r="AO94" s="22">
        <v>1150</v>
      </c>
      <c r="AP94" s="22">
        <v>1150</v>
      </c>
      <c r="AQ94" s="22">
        <v>1150</v>
      </c>
      <c r="AR94" s="22">
        <f>1150+664.2</f>
        <v>1814.2</v>
      </c>
      <c r="AS94" s="41">
        <f>1150+426.6</f>
        <v>1576.6</v>
      </c>
      <c r="AT94" s="22">
        <f>1150+583.7</f>
        <v>1733.7</v>
      </c>
      <c r="AU94" s="22">
        <f>1150+583.7</f>
        <v>1733.7</v>
      </c>
      <c r="AV94" s="22">
        <f>1150+583.7</f>
        <v>1733.7</v>
      </c>
      <c r="AW94" s="22"/>
      <c r="AX94" s="22">
        <f>2010</f>
        <v>2010</v>
      </c>
      <c r="AY94" s="22">
        <v>1150</v>
      </c>
      <c r="AZ94" s="22">
        <v>1150</v>
      </c>
      <c r="BA94" s="22">
        <f>2010</f>
        <v>2010</v>
      </c>
      <c r="BB94" s="22">
        <f>2010</f>
        <v>2010</v>
      </c>
      <c r="BC94" s="22">
        <v>5839.6</v>
      </c>
      <c r="BD94" s="22">
        <v>5839.6</v>
      </c>
      <c r="BE94" s="22">
        <v>5839.6</v>
      </c>
      <c r="BF94" s="22"/>
      <c r="BG94" s="22">
        <f t="shared" si="51"/>
        <v>336.82874776489592</v>
      </c>
      <c r="BH94" s="22">
        <v>1150</v>
      </c>
      <c r="BI94" s="22">
        <v>1150</v>
      </c>
      <c r="BJ94" s="22">
        <v>1150</v>
      </c>
      <c r="BK94" s="21">
        <v>1150</v>
      </c>
      <c r="BL94" s="29">
        <v>1150</v>
      </c>
      <c r="BM94" s="29">
        <v>1150</v>
      </c>
      <c r="BN94" s="25">
        <v>1150</v>
      </c>
      <c r="BO94" s="29">
        <v>1150</v>
      </c>
      <c r="BP94" s="22">
        <v>1150</v>
      </c>
      <c r="BQ94" s="22">
        <f t="shared" si="66"/>
        <v>19.693129666415508</v>
      </c>
      <c r="BR94" s="22">
        <v>1150</v>
      </c>
      <c r="BS94" s="22">
        <f t="shared" si="67"/>
        <v>100</v>
      </c>
      <c r="BT94" s="22">
        <f t="shared" si="68"/>
        <v>100</v>
      </c>
      <c r="BU94" s="22">
        <v>1150</v>
      </c>
      <c r="BV94" s="22">
        <f t="shared" si="69"/>
        <v>100</v>
      </c>
      <c r="BW94" s="22">
        <f t="shared" si="70"/>
        <v>100</v>
      </c>
      <c r="BX94" s="22">
        <v>1150</v>
      </c>
      <c r="BY94" s="22">
        <f t="shared" si="71"/>
        <v>100</v>
      </c>
      <c r="BZ94" s="42"/>
    </row>
    <row r="95" spans="1:78" ht="20.25" hidden="1" customHeight="1" x14ac:dyDescent="0.25">
      <c r="A95" s="11"/>
      <c r="B95" s="39" t="s">
        <v>228</v>
      </c>
      <c r="C95" s="22"/>
      <c r="D95" s="22"/>
      <c r="E95" s="22">
        <v>1163.4000000000001</v>
      </c>
      <c r="F95" s="22">
        <v>1163.4437499999999</v>
      </c>
      <c r="G95" s="22"/>
      <c r="H95" s="22">
        <f>1946.4+26</f>
        <v>1972.4</v>
      </c>
      <c r="I95" s="22">
        <v>1972.3605500000001</v>
      </c>
      <c r="J95" s="22"/>
      <c r="K95" s="22">
        <v>1174.7</v>
      </c>
      <c r="L95" s="22">
        <v>1174.7375300000001</v>
      </c>
      <c r="M95" s="22">
        <v>1972.3605500000001</v>
      </c>
      <c r="N95" s="22"/>
      <c r="O95" s="22">
        <v>1036.5</v>
      </c>
      <c r="P95" s="22">
        <v>1036.2481499999999</v>
      </c>
      <c r="Q95" s="22">
        <v>1036.2481499999999</v>
      </c>
      <c r="R95" s="22"/>
      <c r="S95" s="22">
        <v>1071.9000000000001</v>
      </c>
      <c r="T95" s="22">
        <v>1071.9000000000001</v>
      </c>
      <c r="U95" s="22"/>
      <c r="V95" s="22"/>
      <c r="W95" s="22">
        <v>848.6</v>
      </c>
      <c r="X95" s="22">
        <v>848.61590000000001</v>
      </c>
      <c r="Y95" s="22"/>
      <c r="Z95" s="22"/>
      <c r="AA95" s="22">
        <v>916.8</v>
      </c>
      <c r="AB95" s="22">
        <v>916.75594999999998</v>
      </c>
      <c r="AC95" s="22"/>
      <c r="AD95" s="22"/>
      <c r="AE95" s="22">
        <f>700.6+1369.8</f>
        <v>2070.4</v>
      </c>
      <c r="AF95" s="22">
        <f>700.64605+1369.843</f>
        <v>2070.4890500000001</v>
      </c>
      <c r="AG95" s="22"/>
      <c r="AH95" s="22">
        <v>426.3</v>
      </c>
      <c r="AI95" s="22">
        <v>426.3</v>
      </c>
      <c r="AJ95" s="22">
        <v>426.3</v>
      </c>
      <c r="AK95" s="22">
        <v>2743</v>
      </c>
      <c r="AL95" s="22">
        <v>2742.98515</v>
      </c>
      <c r="AM95" s="22"/>
      <c r="AN95" s="22">
        <v>334.1</v>
      </c>
      <c r="AO95" s="22">
        <v>334.1</v>
      </c>
      <c r="AP95" s="22">
        <v>334.1</v>
      </c>
      <c r="AQ95" s="22">
        <v>334.1</v>
      </c>
      <c r="AR95" s="22">
        <v>334.1</v>
      </c>
      <c r="AS95" s="22"/>
      <c r="AT95" s="22">
        <f>1443.8+1123.1</f>
        <v>2566.8999999999996</v>
      </c>
      <c r="AU95" s="22">
        <f>1710.4+1665.6</f>
        <v>3376</v>
      </c>
      <c r="AV95" s="22">
        <f>1710.4+1476.4</f>
        <v>3186.8</v>
      </c>
      <c r="AW95" s="22"/>
      <c r="AX95" s="22">
        <v>723.2</v>
      </c>
      <c r="AY95" s="22">
        <v>0</v>
      </c>
      <c r="AZ95" s="22">
        <v>0</v>
      </c>
      <c r="BA95" s="22">
        <v>723.2</v>
      </c>
      <c r="BB95" s="22">
        <v>723.2</v>
      </c>
      <c r="BC95" s="22">
        <f>1038.9+1773.8</f>
        <v>2812.7</v>
      </c>
      <c r="BD95" s="22">
        <f>1038.9+1773.8</f>
        <v>2812.7</v>
      </c>
      <c r="BE95" s="22">
        <f>1375.9+1553.9</f>
        <v>2929.8</v>
      </c>
      <c r="BF95" s="22"/>
      <c r="BG95" s="22">
        <f t="shared" si="51"/>
        <v>91.935483870967744</v>
      </c>
      <c r="BH95" s="22">
        <v>1052.0999999999999</v>
      </c>
      <c r="BI95" s="22">
        <v>0</v>
      </c>
      <c r="BJ95" s="22">
        <v>0</v>
      </c>
      <c r="BK95" s="21">
        <v>1236.0999999999999</v>
      </c>
      <c r="BL95" s="29">
        <v>2094.4</v>
      </c>
      <c r="BM95" s="29"/>
      <c r="BN95" s="25"/>
      <c r="BO95" s="29"/>
      <c r="BP95" s="22"/>
      <c r="BQ95" s="22">
        <f t="shared" si="66"/>
        <v>0</v>
      </c>
      <c r="BR95" s="22">
        <v>1275.9000000000001</v>
      </c>
      <c r="BS95" s="22" t="e">
        <f t="shared" si="67"/>
        <v>#DIV/0!</v>
      </c>
      <c r="BT95" s="22" t="e">
        <f t="shared" si="68"/>
        <v>#DIV/0!</v>
      </c>
      <c r="BU95" s="22">
        <v>0</v>
      </c>
      <c r="BV95" s="22">
        <f t="shared" si="69"/>
        <v>0</v>
      </c>
      <c r="BW95" s="22" t="e">
        <f t="shared" si="70"/>
        <v>#DIV/0!</v>
      </c>
      <c r="BX95" s="22">
        <v>0</v>
      </c>
      <c r="BY95" s="22" t="e">
        <f t="shared" si="71"/>
        <v>#DIV/0!</v>
      </c>
    </row>
    <row r="96" spans="1:78" ht="21" hidden="1" customHeight="1" x14ac:dyDescent="0.25">
      <c r="A96" s="11"/>
      <c r="B96" s="39" t="s">
        <v>229</v>
      </c>
      <c r="C96" s="22"/>
      <c r="D96" s="22"/>
      <c r="E96" s="22">
        <v>68.7</v>
      </c>
      <c r="F96" s="22">
        <v>24.9999</v>
      </c>
      <c r="G96" s="22"/>
      <c r="H96" s="22">
        <v>25</v>
      </c>
      <c r="I96" s="22">
        <v>25</v>
      </c>
      <c r="J96" s="22">
        <v>25</v>
      </c>
      <c r="K96" s="22">
        <v>25</v>
      </c>
      <c r="L96" s="22">
        <v>25</v>
      </c>
      <c r="M96" s="22">
        <v>25</v>
      </c>
      <c r="N96" s="22">
        <v>25</v>
      </c>
      <c r="O96" s="22">
        <v>25</v>
      </c>
      <c r="P96" s="22">
        <v>25</v>
      </c>
      <c r="Q96" s="22">
        <v>25</v>
      </c>
      <c r="R96" s="22">
        <v>25</v>
      </c>
      <c r="S96" s="22">
        <v>25</v>
      </c>
      <c r="T96" s="22">
        <v>25</v>
      </c>
      <c r="U96" s="22"/>
      <c r="V96" s="22">
        <v>25</v>
      </c>
      <c r="W96" s="22">
        <v>25</v>
      </c>
      <c r="X96" s="22">
        <v>25</v>
      </c>
      <c r="Y96" s="22"/>
      <c r="Z96" s="22">
        <v>25</v>
      </c>
      <c r="AA96" s="22">
        <v>25</v>
      </c>
      <c r="AB96" s="22">
        <v>25</v>
      </c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 t="e">
        <f t="shared" si="51"/>
        <v>#DIV/0!</v>
      </c>
      <c r="BH96" s="22"/>
      <c r="BI96" s="22"/>
      <c r="BJ96" s="22"/>
      <c r="BK96" s="21"/>
      <c r="BL96" s="29"/>
      <c r="BM96" s="29"/>
      <c r="BN96" s="25"/>
      <c r="BO96" s="29"/>
      <c r="BP96" s="22"/>
      <c r="BQ96" s="22" t="e">
        <f t="shared" si="66"/>
        <v>#DIV/0!</v>
      </c>
      <c r="BR96" s="22"/>
      <c r="BS96" s="22" t="e">
        <f t="shared" si="67"/>
        <v>#DIV/0!</v>
      </c>
      <c r="BT96" s="22" t="e">
        <f t="shared" si="68"/>
        <v>#DIV/0!</v>
      </c>
      <c r="BU96" s="22"/>
      <c r="BV96" s="22" t="e">
        <f t="shared" si="69"/>
        <v>#DIV/0!</v>
      </c>
      <c r="BW96" s="22" t="e">
        <f t="shared" si="70"/>
        <v>#DIV/0!</v>
      </c>
      <c r="BX96" s="22"/>
      <c r="BY96" s="22" t="e">
        <f t="shared" si="71"/>
        <v>#DIV/0!</v>
      </c>
    </row>
    <row r="97" spans="1:77" ht="21" hidden="1" customHeight="1" x14ac:dyDescent="0.25">
      <c r="A97" s="11"/>
      <c r="B97" s="39" t="s">
        <v>230</v>
      </c>
      <c r="C97" s="22"/>
      <c r="D97" s="22"/>
      <c r="E97" s="22">
        <v>100</v>
      </c>
      <c r="F97" s="22"/>
      <c r="G97" s="22"/>
      <c r="H97" s="22"/>
      <c r="I97" s="22"/>
      <c r="J97" s="22"/>
      <c r="K97" s="22">
        <v>13</v>
      </c>
      <c r="L97" s="22">
        <v>13</v>
      </c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>
        <v>40</v>
      </c>
      <c r="X97" s="22">
        <v>40</v>
      </c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>
        <v>321.5</v>
      </c>
      <c r="AU97" s="22">
        <v>321.5</v>
      </c>
      <c r="AV97" s="22">
        <v>321.5</v>
      </c>
      <c r="AW97" s="22"/>
      <c r="AX97" s="22">
        <v>355</v>
      </c>
      <c r="AY97" s="22">
        <v>355</v>
      </c>
      <c r="AZ97" s="22">
        <v>355</v>
      </c>
      <c r="BA97" s="22">
        <v>355</v>
      </c>
      <c r="BB97" s="22">
        <v>355</v>
      </c>
      <c r="BC97" s="22">
        <v>355</v>
      </c>
      <c r="BD97" s="22">
        <v>355</v>
      </c>
      <c r="BE97" s="22">
        <v>355</v>
      </c>
      <c r="BF97" s="22"/>
      <c r="BG97" s="22">
        <f t="shared" si="51"/>
        <v>110.4199066874028</v>
      </c>
      <c r="BH97" s="22">
        <v>355</v>
      </c>
      <c r="BI97" s="22">
        <v>355</v>
      </c>
      <c r="BJ97" s="22">
        <v>355</v>
      </c>
      <c r="BK97" s="21">
        <v>355</v>
      </c>
      <c r="BL97" s="29">
        <v>401</v>
      </c>
      <c r="BM97" s="29"/>
      <c r="BN97" s="25"/>
      <c r="BO97" s="29"/>
      <c r="BP97" s="22"/>
      <c r="BQ97" s="22">
        <f t="shared" si="66"/>
        <v>0</v>
      </c>
      <c r="BR97" s="22">
        <v>374</v>
      </c>
      <c r="BS97" s="22" t="e">
        <f t="shared" si="67"/>
        <v>#DIV/0!</v>
      </c>
      <c r="BT97" s="22">
        <f t="shared" si="68"/>
        <v>105.35211267605634</v>
      </c>
      <c r="BU97" s="22">
        <v>374</v>
      </c>
      <c r="BV97" s="22">
        <f t="shared" si="69"/>
        <v>100</v>
      </c>
      <c r="BW97" s="22">
        <f t="shared" si="70"/>
        <v>105.35211267605634</v>
      </c>
      <c r="BX97" s="22">
        <v>374</v>
      </c>
      <c r="BY97" s="22">
        <f t="shared" si="71"/>
        <v>100</v>
      </c>
    </row>
    <row r="98" spans="1:77" ht="21" hidden="1" customHeight="1" x14ac:dyDescent="0.25">
      <c r="A98" s="11"/>
      <c r="B98" s="38" t="s">
        <v>231</v>
      </c>
      <c r="C98" s="22"/>
      <c r="D98" s="22"/>
      <c r="E98" s="22"/>
      <c r="F98" s="22"/>
      <c r="G98" s="22"/>
      <c r="H98" s="22">
        <v>100</v>
      </c>
      <c r="I98" s="22">
        <v>98</v>
      </c>
      <c r="J98" s="22"/>
      <c r="K98" s="22">
        <f>99+690.8</f>
        <v>789.8</v>
      </c>
      <c r="L98" s="22">
        <f>690.82+99</f>
        <v>789.82</v>
      </c>
      <c r="M98" s="22"/>
      <c r="N98" s="22"/>
      <c r="O98" s="22">
        <v>3691</v>
      </c>
      <c r="P98" s="22">
        <v>3690.9980999999998</v>
      </c>
      <c r="Q98" s="22">
        <v>3690.9980999999998</v>
      </c>
      <c r="R98" s="22">
        <v>7007.5</v>
      </c>
      <c r="S98" s="22">
        <v>7007.5</v>
      </c>
      <c r="T98" s="22">
        <v>7007.5</v>
      </c>
      <c r="U98" s="22"/>
      <c r="V98" s="22">
        <v>2010.1</v>
      </c>
      <c r="W98" s="22">
        <v>22682.7</v>
      </c>
      <c r="X98" s="22">
        <v>22598.275020000001</v>
      </c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>
        <f>4437+1809+1935.1</f>
        <v>8181.1</v>
      </c>
      <c r="AL98" s="22">
        <f>4437+3744.07595</f>
        <v>8181.0759500000004</v>
      </c>
      <c r="AM98" s="22"/>
      <c r="AN98" s="22">
        <v>221</v>
      </c>
      <c r="AO98" s="22">
        <v>221</v>
      </c>
      <c r="AP98" s="22">
        <v>221</v>
      </c>
      <c r="AQ98" s="22">
        <v>221</v>
      </c>
      <c r="AR98" s="22">
        <v>221</v>
      </c>
      <c r="AS98" s="22"/>
      <c r="AT98" s="22">
        <f>221+2025+2151.2</f>
        <v>4397.2</v>
      </c>
      <c r="AU98" s="22">
        <f>221+1962.9+2151.2</f>
        <v>4335.1000000000004</v>
      </c>
      <c r="AV98" s="22">
        <f>221+1962.9+2151.2</f>
        <v>4335.1000000000004</v>
      </c>
      <c r="AW98" s="22"/>
      <c r="AX98" s="22">
        <f>221+2000</f>
        <v>2221</v>
      </c>
      <c r="AY98" s="22">
        <v>221</v>
      </c>
      <c r="AZ98" s="22">
        <v>221</v>
      </c>
      <c r="BA98" s="22">
        <f t="shared" ref="BA98:BB98" si="84">221+2000</f>
        <v>2221</v>
      </c>
      <c r="BB98" s="22">
        <f t="shared" si="84"/>
        <v>2221</v>
      </c>
      <c r="BC98" s="22">
        <f>1260+3000+1300+2000+221</f>
        <v>7781</v>
      </c>
      <c r="BD98" s="22">
        <f>1260+3000+1300+2000+221</f>
        <v>7781</v>
      </c>
      <c r="BE98" s="22">
        <f>1260+3900+1300+2000+221</f>
        <v>8681</v>
      </c>
      <c r="BF98" s="22"/>
      <c r="BG98" s="22">
        <f t="shared" si="51"/>
        <v>200.2491292011718</v>
      </c>
      <c r="BH98" s="22">
        <v>3879</v>
      </c>
      <c r="BI98" s="22">
        <v>3879</v>
      </c>
      <c r="BJ98" s="22">
        <v>3879</v>
      </c>
      <c r="BK98" s="21">
        <f>221+3658+400</f>
        <v>4279</v>
      </c>
      <c r="BL98" s="29">
        <f>221+3658+400</f>
        <v>4279</v>
      </c>
      <c r="BM98" s="29"/>
      <c r="BN98" s="25"/>
      <c r="BO98" s="29"/>
      <c r="BP98" s="22"/>
      <c r="BQ98" s="22">
        <f t="shared" si="66"/>
        <v>0</v>
      </c>
      <c r="BR98" s="22">
        <v>6239.9</v>
      </c>
      <c r="BS98" s="22" t="e">
        <f t="shared" si="67"/>
        <v>#DIV/0!</v>
      </c>
      <c r="BT98" s="22">
        <f t="shared" si="68"/>
        <v>160.86362464552718</v>
      </c>
      <c r="BU98" s="22">
        <v>1123</v>
      </c>
      <c r="BV98" s="22">
        <f t="shared" si="69"/>
        <v>17.997083286591131</v>
      </c>
      <c r="BW98" s="22">
        <f t="shared" si="70"/>
        <v>28.950760505284869</v>
      </c>
      <c r="BX98" s="22">
        <v>1123</v>
      </c>
      <c r="BY98" s="22">
        <f t="shared" si="71"/>
        <v>100</v>
      </c>
    </row>
    <row r="99" spans="1:77" ht="21" hidden="1" customHeight="1" x14ac:dyDescent="0.25">
      <c r="A99" s="11"/>
      <c r="B99" s="38" t="s">
        <v>232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>
        <v>330</v>
      </c>
      <c r="T99" s="22">
        <v>330</v>
      </c>
      <c r="U99" s="22"/>
      <c r="V99" s="22"/>
      <c r="W99" s="22"/>
      <c r="X99" s="22"/>
      <c r="Y99" s="22"/>
      <c r="Z99" s="22"/>
      <c r="AA99" s="22">
        <f>2325.8+25.6+300</f>
        <v>2651.4</v>
      </c>
      <c r="AB99" s="22">
        <f>2325.76689+25.6189+300</f>
        <v>2651.3857899999998</v>
      </c>
      <c r="AC99" s="22"/>
      <c r="AD99" s="22"/>
      <c r="AE99" s="22">
        <f>100+1399.2+155.5</f>
        <v>1654.7</v>
      </c>
      <c r="AF99" s="22">
        <f>100+1399.21875+155.46875</f>
        <v>1654.6875</v>
      </c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 t="e">
        <f t="shared" si="51"/>
        <v>#DIV/0!</v>
      </c>
      <c r="BH99" s="22">
        <v>675</v>
      </c>
      <c r="BI99" s="22">
        <v>675</v>
      </c>
      <c r="BJ99" s="22">
        <v>675</v>
      </c>
      <c r="BK99" s="21">
        <v>675</v>
      </c>
      <c r="BL99" s="29">
        <v>675</v>
      </c>
      <c r="BM99" s="29"/>
      <c r="BN99" s="25"/>
      <c r="BO99" s="29"/>
      <c r="BP99" s="22"/>
      <c r="BQ99" s="22" t="e">
        <f t="shared" si="66"/>
        <v>#DIV/0!</v>
      </c>
      <c r="BR99" s="22">
        <v>840</v>
      </c>
      <c r="BS99" s="22" t="e">
        <f t="shared" si="67"/>
        <v>#DIV/0!</v>
      </c>
      <c r="BT99" s="22">
        <f t="shared" si="68"/>
        <v>124.44444444444444</v>
      </c>
      <c r="BU99" s="22">
        <v>840</v>
      </c>
      <c r="BV99" s="22">
        <f t="shared" si="69"/>
        <v>100</v>
      </c>
      <c r="BW99" s="22">
        <f t="shared" si="70"/>
        <v>124.44444444444444</v>
      </c>
      <c r="BX99" s="22">
        <v>840</v>
      </c>
      <c r="BY99" s="22">
        <f t="shared" si="71"/>
        <v>100</v>
      </c>
    </row>
    <row r="100" spans="1:77" ht="21" hidden="1" customHeight="1" x14ac:dyDescent="0.25">
      <c r="A100" s="11"/>
      <c r="B100" s="38" t="s">
        <v>233</v>
      </c>
      <c r="C100" s="22"/>
      <c r="D100" s="22"/>
      <c r="E100" s="22">
        <v>25</v>
      </c>
      <c r="F100" s="22">
        <v>100</v>
      </c>
      <c r="G100" s="22"/>
      <c r="H100" s="22"/>
      <c r="I100" s="22"/>
      <c r="J100" s="22">
        <v>300</v>
      </c>
      <c r="K100" s="22">
        <v>0</v>
      </c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>
        <v>22.5</v>
      </c>
      <c r="AB100" s="22">
        <v>22.5</v>
      </c>
      <c r="AC100" s="22"/>
      <c r="AD100" s="22"/>
      <c r="AE100" s="22"/>
      <c r="AF100" s="22"/>
      <c r="AG100" s="22"/>
      <c r="AH100" s="22">
        <v>737.6</v>
      </c>
      <c r="AI100" s="22">
        <v>221</v>
      </c>
      <c r="AJ100" s="22">
        <v>221</v>
      </c>
      <c r="AK100" s="22">
        <f>1936.5+158</f>
        <v>2094.5</v>
      </c>
      <c r="AL100" s="22">
        <f>1936.5015+158</f>
        <v>2094.5015000000003</v>
      </c>
      <c r="AM100" s="22"/>
      <c r="AN100" s="22"/>
      <c r="AO100" s="22"/>
      <c r="AP100" s="22"/>
      <c r="AQ100" s="22"/>
      <c r="AR100" s="22"/>
      <c r="AS100" s="22"/>
      <c r="AT100" s="22">
        <f>27.1+996.3+35</f>
        <v>1058.4000000000001</v>
      </c>
      <c r="AU100" s="22">
        <f>27.1+996.3+35</f>
        <v>1058.4000000000001</v>
      </c>
      <c r="AV100" s="22">
        <f>35+996.3+27.1</f>
        <v>1058.3999999999999</v>
      </c>
      <c r="AW100" s="22"/>
      <c r="AX100" s="22"/>
      <c r="AY100" s="22"/>
      <c r="AZ100" s="22"/>
      <c r="BA100" s="22"/>
      <c r="BB100" s="22"/>
      <c r="BC100" s="22">
        <v>295</v>
      </c>
      <c r="BD100" s="22">
        <v>295</v>
      </c>
      <c r="BE100" s="22">
        <v>295</v>
      </c>
      <c r="BF100" s="22"/>
      <c r="BG100" s="22">
        <f t="shared" si="51"/>
        <v>27.872260015117163</v>
      </c>
      <c r="BH100" s="22"/>
      <c r="BI100" s="22"/>
      <c r="BJ100" s="22"/>
      <c r="BK100" s="21"/>
      <c r="BL100" s="29"/>
      <c r="BM100" s="29"/>
      <c r="BN100" s="25"/>
      <c r="BO100" s="29"/>
      <c r="BP100" s="22"/>
      <c r="BQ100" s="22">
        <f t="shared" si="66"/>
        <v>0</v>
      </c>
      <c r="BR100" s="22"/>
      <c r="BS100" s="22" t="e">
        <f t="shared" si="67"/>
        <v>#DIV/0!</v>
      </c>
      <c r="BT100" s="22" t="e">
        <f t="shared" si="68"/>
        <v>#DIV/0!</v>
      </c>
      <c r="BU100" s="22"/>
      <c r="BV100" s="22" t="e">
        <f t="shared" si="69"/>
        <v>#DIV/0!</v>
      </c>
      <c r="BW100" s="22" t="e">
        <f t="shared" si="70"/>
        <v>#DIV/0!</v>
      </c>
      <c r="BX100" s="22"/>
      <c r="BY100" s="22" t="e">
        <f t="shared" si="71"/>
        <v>#DIV/0!</v>
      </c>
    </row>
    <row r="101" spans="1:77" ht="21" hidden="1" customHeight="1" x14ac:dyDescent="0.25">
      <c r="A101" s="11"/>
      <c r="B101" s="39" t="s">
        <v>234</v>
      </c>
      <c r="C101" s="22"/>
      <c r="D101" s="22"/>
      <c r="E101" s="22"/>
      <c r="F101" s="22">
        <v>68.659000000000006</v>
      </c>
      <c r="G101" s="22"/>
      <c r="H101" s="22"/>
      <c r="I101" s="22"/>
      <c r="J101" s="22"/>
      <c r="K101" s="22">
        <v>260</v>
      </c>
      <c r="L101" s="22">
        <v>260</v>
      </c>
      <c r="M101" s="22"/>
      <c r="N101" s="22"/>
      <c r="O101" s="22"/>
      <c r="P101" s="22"/>
      <c r="Q101" s="22"/>
      <c r="R101" s="22"/>
      <c r="S101" s="22">
        <v>200</v>
      </c>
      <c r="T101" s="22">
        <v>200</v>
      </c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 t="e">
        <f t="shared" si="51"/>
        <v>#DIV/0!</v>
      </c>
      <c r="BH101" s="22"/>
      <c r="BI101" s="22"/>
      <c r="BJ101" s="22"/>
      <c r="BK101" s="21"/>
      <c r="BL101" s="29"/>
      <c r="BM101" s="29"/>
      <c r="BN101" s="25"/>
      <c r="BO101" s="29"/>
      <c r="BP101" s="22"/>
      <c r="BQ101" s="22" t="e">
        <f t="shared" si="66"/>
        <v>#DIV/0!</v>
      </c>
      <c r="BR101" s="22"/>
      <c r="BS101" s="22" t="e">
        <f t="shared" si="67"/>
        <v>#DIV/0!</v>
      </c>
      <c r="BT101" s="22" t="e">
        <f t="shared" si="68"/>
        <v>#DIV/0!</v>
      </c>
      <c r="BU101" s="22"/>
      <c r="BV101" s="22" t="e">
        <f t="shared" si="69"/>
        <v>#DIV/0!</v>
      </c>
      <c r="BW101" s="22" t="e">
        <f t="shared" si="70"/>
        <v>#DIV/0!</v>
      </c>
      <c r="BX101" s="22"/>
      <c r="BY101" s="22" t="e">
        <f t="shared" si="71"/>
        <v>#DIV/0!</v>
      </c>
    </row>
    <row r="102" spans="1:77" ht="21" hidden="1" customHeight="1" x14ac:dyDescent="0.25">
      <c r="A102" s="11"/>
      <c r="B102" s="39" t="s">
        <v>205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>
        <v>78</v>
      </c>
      <c r="W102" s="22">
        <v>78</v>
      </c>
      <c r="X102" s="22">
        <v>78</v>
      </c>
      <c r="Y102" s="22"/>
      <c r="Z102" s="22">
        <v>53</v>
      </c>
      <c r="AA102" s="22">
        <v>53</v>
      </c>
      <c r="AB102" s="22">
        <v>53</v>
      </c>
      <c r="AC102" s="22"/>
      <c r="AD102" s="22">
        <v>62.2</v>
      </c>
      <c r="AE102" s="22">
        <v>62.2</v>
      </c>
      <c r="AF102" s="22">
        <v>62.2</v>
      </c>
      <c r="AG102" s="22"/>
      <c r="AH102" s="22">
        <v>59</v>
      </c>
      <c r="AI102" s="22">
        <v>59.5</v>
      </c>
      <c r="AJ102" s="22">
        <v>59.5</v>
      </c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 t="e">
        <f t="shared" si="51"/>
        <v>#DIV/0!</v>
      </c>
      <c r="BH102" s="22"/>
      <c r="BI102" s="22"/>
      <c r="BJ102" s="22"/>
      <c r="BK102" s="21"/>
      <c r="BL102" s="29"/>
      <c r="BM102" s="29"/>
      <c r="BN102" s="25"/>
      <c r="BO102" s="29"/>
      <c r="BP102" s="22"/>
      <c r="BQ102" s="22" t="e">
        <f t="shared" si="66"/>
        <v>#DIV/0!</v>
      </c>
      <c r="BR102" s="22"/>
      <c r="BS102" s="22" t="e">
        <f t="shared" si="67"/>
        <v>#DIV/0!</v>
      </c>
      <c r="BT102" s="22" t="e">
        <f t="shared" si="68"/>
        <v>#DIV/0!</v>
      </c>
      <c r="BU102" s="22"/>
      <c r="BV102" s="22" t="e">
        <f t="shared" si="69"/>
        <v>#DIV/0!</v>
      </c>
      <c r="BW102" s="22" t="e">
        <f t="shared" si="70"/>
        <v>#DIV/0!</v>
      </c>
      <c r="BX102" s="22"/>
      <c r="BY102" s="22" t="e">
        <f t="shared" si="71"/>
        <v>#DIV/0!</v>
      </c>
    </row>
    <row r="103" spans="1:77" ht="21" hidden="1" customHeight="1" x14ac:dyDescent="0.25">
      <c r="A103" s="11"/>
      <c r="B103" s="39" t="s">
        <v>235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>
        <v>20</v>
      </c>
      <c r="AO103" s="22">
        <v>20</v>
      </c>
      <c r="AP103" s="22">
        <v>20</v>
      </c>
      <c r="AQ103" s="22">
        <v>20</v>
      </c>
      <c r="AR103" s="22">
        <v>20</v>
      </c>
      <c r="AS103" s="22"/>
      <c r="AT103" s="22">
        <v>20</v>
      </c>
      <c r="AU103" s="22">
        <v>20</v>
      </c>
      <c r="AV103" s="22">
        <v>20</v>
      </c>
      <c r="AW103" s="22"/>
      <c r="AX103" s="22">
        <v>20</v>
      </c>
      <c r="AY103" s="22">
        <v>20</v>
      </c>
      <c r="AZ103" s="22">
        <v>20</v>
      </c>
      <c r="BA103" s="22">
        <v>20</v>
      </c>
      <c r="BB103" s="22">
        <v>20</v>
      </c>
      <c r="BC103" s="22">
        <v>20</v>
      </c>
      <c r="BD103" s="22">
        <v>20</v>
      </c>
      <c r="BE103" s="22">
        <v>20</v>
      </c>
      <c r="BF103" s="22"/>
      <c r="BG103" s="22">
        <f t="shared" si="51"/>
        <v>100</v>
      </c>
      <c r="BH103" s="22">
        <v>20</v>
      </c>
      <c r="BI103" s="22">
        <v>20</v>
      </c>
      <c r="BJ103" s="22">
        <v>20</v>
      </c>
      <c r="BK103" s="21">
        <v>20</v>
      </c>
      <c r="BL103" s="29">
        <v>20</v>
      </c>
      <c r="BM103" s="29"/>
      <c r="BN103" s="25"/>
      <c r="BO103" s="29"/>
      <c r="BP103" s="22"/>
      <c r="BQ103" s="22">
        <f t="shared" si="66"/>
        <v>0</v>
      </c>
      <c r="BR103" s="22">
        <v>20</v>
      </c>
      <c r="BS103" s="22" t="e">
        <f t="shared" si="67"/>
        <v>#DIV/0!</v>
      </c>
      <c r="BT103" s="22">
        <f t="shared" si="68"/>
        <v>100</v>
      </c>
      <c r="BU103" s="22">
        <v>20</v>
      </c>
      <c r="BV103" s="22">
        <f t="shared" si="69"/>
        <v>100</v>
      </c>
      <c r="BW103" s="22">
        <f t="shared" si="70"/>
        <v>100</v>
      </c>
      <c r="BX103" s="22">
        <v>20</v>
      </c>
      <c r="BY103" s="22">
        <f t="shared" si="71"/>
        <v>100</v>
      </c>
    </row>
    <row r="104" spans="1:77" ht="21" hidden="1" customHeight="1" x14ac:dyDescent="0.25">
      <c r="A104" s="11"/>
      <c r="B104" s="39" t="s">
        <v>236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>
        <v>80</v>
      </c>
      <c r="AU104" s="22">
        <v>80</v>
      </c>
      <c r="AV104" s="22">
        <v>80</v>
      </c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>
        <f t="shared" si="51"/>
        <v>0</v>
      </c>
      <c r="BH104" s="22"/>
      <c r="BI104" s="22"/>
      <c r="BJ104" s="22"/>
      <c r="BK104" s="21"/>
      <c r="BL104" s="29"/>
      <c r="BM104" s="29"/>
      <c r="BN104" s="25"/>
      <c r="BO104" s="29"/>
      <c r="BP104" s="22"/>
      <c r="BQ104" s="22" t="e">
        <f t="shared" si="66"/>
        <v>#DIV/0!</v>
      </c>
      <c r="BR104" s="22"/>
      <c r="BS104" s="22" t="e">
        <f t="shared" si="67"/>
        <v>#DIV/0!</v>
      </c>
      <c r="BT104" s="22" t="e">
        <f t="shared" si="68"/>
        <v>#DIV/0!</v>
      </c>
      <c r="BU104" s="22"/>
      <c r="BV104" s="22" t="e">
        <f t="shared" si="69"/>
        <v>#DIV/0!</v>
      </c>
      <c r="BW104" s="22" t="e">
        <f t="shared" si="70"/>
        <v>#DIV/0!</v>
      </c>
      <c r="BX104" s="22"/>
      <c r="BY104" s="22" t="e">
        <f t="shared" si="71"/>
        <v>#DIV/0!</v>
      </c>
    </row>
    <row r="105" spans="1:77" ht="21" hidden="1" customHeight="1" x14ac:dyDescent="0.25">
      <c r="A105" s="11"/>
      <c r="B105" s="39" t="s">
        <v>237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>
        <v>600</v>
      </c>
      <c r="P105" s="22">
        <v>599.96667000000002</v>
      </c>
      <c r="Q105" s="22">
        <v>599.96667000000002</v>
      </c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>
        <f>360+4635</f>
        <v>4995</v>
      </c>
      <c r="AF105" s="22">
        <f>360+4635</f>
        <v>4995</v>
      </c>
      <c r="AG105" s="22"/>
      <c r="AH105" s="22"/>
      <c r="AI105" s="22"/>
      <c r="AJ105" s="22"/>
      <c r="AK105" s="22">
        <v>17913.900000000001</v>
      </c>
      <c r="AL105" s="22">
        <v>17913.897000000001</v>
      </c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>
        <v>550</v>
      </c>
      <c r="BD105" s="22">
        <v>550</v>
      </c>
      <c r="BE105" s="22">
        <f>550+646.4</f>
        <v>1196.4000000000001</v>
      </c>
      <c r="BF105" s="22"/>
      <c r="BG105" s="22" t="e">
        <f t="shared" si="51"/>
        <v>#DIV/0!</v>
      </c>
      <c r="BH105" s="22">
        <v>550</v>
      </c>
      <c r="BI105" s="22"/>
      <c r="BJ105" s="22"/>
      <c r="BK105" s="21">
        <v>550</v>
      </c>
      <c r="BL105" s="29">
        <v>550</v>
      </c>
      <c r="BM105" s="29"/>
      <c r="BN105" s="25"/>
      <c r="BO105" s="29"/>
      <c r="BP105" s="22"/>
      <c r="BQ105" s="22">
        <f t="shared" si="66"/>
        <v>0</v>
      </c>
      <c r="BR105" s="22"/>
      <c r="BS105" s="22" t="e">
        <f t="shared" si="67"/>
        <v>#DIV/0!</v>
      </c>
      <c r="BT105" s="22" t="e">
        <f t="shared" si="68"/>
        <v>#DIV/0!</v>
      </c>
      <c r="BU105" s="22"/>
      <c r="BV105" s="22" t="e">
        <f t="shared" si="69"/>
        <v>#DIV/0!</v>
      </c>
      <c r="BW105" s="22" t="e">
        <f t="shared" si="70"/>
        <v>#DIV/0!</v>
      </c>
      <c r="BX105" s="22"/>
      <c r="BY105" s="22" t="e">
        <f t="shared" si="71"/>
        <v>#DIV/0!</v>
      </c>
    </row>
    <row r="106" spans="1:77" ht="21" hidden="1" customHeight="1" x14ac:dyDescent="0.25">
      <c r="A106" s="11"/>
      <c r="B106" s="39" t="s">
        <v>238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>
        <v>140</v>
      </c>
      <c r="AI106" s="22"/>
      <c r="AJ106" s="22"/>
      <c r="AK106" s="22">
        <v>140</v>
      </c>
      <c r="AL106" s="22">
        <v>140</v>
      </c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 t="e">
        <f t="shared" si="51"/>
        <v>#DIV/0!</v>
      </c>
      <c r="BH106" s="22"/>
      <c r="BI106" s="22"/>
      <c r="BJ106" s="22"/>
      <c r="BK106" s="21"/>
      <c r="BL106" s="29"/>
      <c r="BM106" s="29"/>
      <c r="BN106" s="25"/>
      <c r="BO106" s="29"/>
      <c r="BP106" s="22"/>
      <c r="BQ106" s="22" t="e">
        <f t="shared" si="66"/>
        <v>#DIV/0!</v>
      </c>
      <c r="BR106" s="22"/>
      <c r="BS106" s="22" t="e">
        <f t="shared" si="67"/>
        <v>#DIV/0!</v>
      </c>
      <c r="BT106" s="22" t="e">
        <f t="shared" si="68"/>
        <v>#DIV/0!</v>
      </c>
      <c r="BU106" s="22"/>
      <c r="BV106" s="22" t="e">
        <f t="shared" si="69"/>
        <v>#DIV/0!</v>
      </c>
      <c r="BW106" s="22" t="e">
        <f t="shared" si="70"/>
        <v>#DIV/0!</v>
      </c>
      <c r="BX106" s="22"/>
      <c r="BY106" s="22" t="e">
        <f t="shared" si="71"/>
        <v>#DIV/0!</v>
      </c>
    </row>
    <row r="107" spans="1:77" ht="21" hidden="1" customHeight="1" x14ac:dyDescent="0.25">
      <c r="A107" s="11"/>
      <c r="B107" s="39" t="s">
        <v>239</v>
      </c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>
        <v>29.4</v>
      </c>
      <c r="BD107" s="22">
        <v>29.4</v>
      </c>
      <c r="BE107" s="22">
        <v>29.4</v>
      </c>
      <c r="BF107" s="22"/>
      <c r="BG107" s="22" t="e">
        <f t="shared" si="51"/>
        <v>#DIV/0!</v>
      </c>
      <c r="BH107" s="22"/>
      <c r="BI107" s="22"/>
      <c r="BJ107" s="22"/>
      <c r="BK107" s="21"/>
      <c r="BL107" s="29"/>
      <c r="BM107" s="29"/>
      <c r="BN107" s="25"/>
      <c r="BO107" s="29"/>
      <c r="BP107" s="22"/>
      <c r="BQ107" s="22">
        <f t="shared" si="66"/>
        <v>0</v>
      </c>
      <c r="BR107" s="22"/>
      <c r="BS107" s="22" t="e">
        <f t="shared" si="67"/>
        <v>#DIV/0!</v>
      </c>
      <c r="BT107" s="22" t="e">
        <f t="shared" si="68"/>
        <v>#DIV/0!</v>
      </c>
      <c r="BU107" s="22"/>
      <c r="BV107" s="22" t="e">
        <f t="shared" si="69"/>
        <v>#DIV/0!</v>
      </c>
      <c r="BW107" s="22" t="e">
        <f t="shared" si="70"/>
        <v>#DIV/0!</v>
      </c>
      <c r="BX107" s="22"/>
      <c r="BY107" s="22" t="e">
        <f t="shared" si="71"/>
        <v>#DIV/0!</v>
      </c>
    </row>
    <row r="108" spans="1:77" ht="21" hidden="1" customHeight="1" x14ac:dyDescent="0.25">
      <c r="A108" s="11"/>
      <c r="B108" s="39" t="s">
        <v>240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>
        <v>600</v>
      </c>
      <c r="S108" s="22">
        <v>600</v>
      </c>
      <c r="T108" s="22">
        <v>600</v>
      </c>
      <c r="U108" s="22"/>
      <c r="V108" s="22"/>
      <c r="W108" s="22"/>
      <c r="X108" s="22"/>
      <c r="Y108" s="22"/>
      <c r="Z108" s="22">
        <v>100</v>
      </c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 t="e">
        <f t="shared" si="51"/>
        <v>#DIV/0!</v>
      </c>
      <c r="BH108" s="22"/>
      <c r="BI108" s="22"/>
      <c r="BJ108" s="22"/>
      <c r="BK108" s="21"/>
      <c r="BL108" s="29"/>
      <c r="BM108" s="29"/>
      <c r="BN108" s="25"/>
      <c r="BO108" s="29"/>
      <c r="BP108" s="22"/>
      <c r="BQ108" s="22" t="e">
        <f t="shared" si="66"/>
        <v>#DIV/0!</v>
      </c>
      <c r="BR108" s="22"/>
      <c r="BS108" s="22" t="e">
        <f t="shared" si="67"/>
        <v>#DIV/0!</v>
      </c>
      <c r="BT108" s="22" t="e">
        <f t="shared" si="68"/>
        <v>#DIV/0!</v>
      </c>
      <c r="BU108" s="22"/>
      <c r="BV108" s="22" t="e">
        <f t="shared" si="69"/>
        <v>#DIV/0!</v>
      </c>
      <c r="BW108" s="22" t="e">
        <f t="shared" si="70"/>
        <v>#DIV/0!</v>
      </c>
      <c r="BX108" s="22"/>
      <c r="BY108" s="22" t="e">
        <f t="shared" si="71"/>
        <v>#DIV/0!</v>
      </c>
    </row>
    <row r="109" spans="1:77" ht="21" hidden="1" customHeight="1" x14ac:dyDescent="0.25">
      <c r="A109" s="11"/>
      <c r="B109" s="39" t="s">
        <v>241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>
        <v>876</v>
      </c>
      <c r="O109" s="22">
        <v>876</v>
      </c>
      <c r="P109" s="22">
        <v>876</v>
      </c>
      <c r="Q109" s="22">
        <v>876</v>
      </c>
      <c r="R109" s="22"/>
      <c r="S109" s="22"/>
      <c r="T109" s="22"/>
      <c r="U109" s="22"/>
      <c r="V109" s="22"/>
      <c r="W109" s="22"/>
      <c r="X109" s="22"/>
      <c r="Y109" s="22"/>
      <c r="Z109" s="22"/>
      <c r="AA109" s="22">
        <v>500</v>
      </c>
      <c r="AB109" s="22">
        <v>500</v>
      </c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 t="e">
        <f t="shared" si="51"/>
        <v>#DIV/0!</v>
      </c>
      <c r="BH109" s="22"/>
      <c r="BI109" s="22"/>
      <c r="BJ109" s="22"/>
      <c r="BK109" s="21"/>
      <c r="BL109" s="29"/>
      <c r="BM109" s="29"/>
      <c r="BN109" s="25"/>
      <c r="BO109" s="29"/>
      <c r="BP109" s="22"/>
      <c r="BQ109" s="22" t="e">
        <f t="shared" si="66"/>
        <v>#DIV/0!</v>
      </c>
      <c r="BR109" s="22"/>
      <c r="BS109" s="22" t="e">
        <f t="shared" si="67"/>
        <v>#DIV/0!</v>
      </c>
      <c r="BT109" s="22" t="e">
        <f t="shared" si="68"/>
        <v>#DIV/0!</v>
      </c>
      <c r="BU109" s="22"/>
      <c r="BV109" s="22" t="e">
        <f t="shared" si="69"/>
        <v>#DIV/0!</v>
      </c>
      <c r="BW109" s="22" t="e">
        <f t="shared" si="70"/>
        <v>#DIV/0!</v>
      </c>
      <c r="BX109" s="22"/>
      <c r="BY109" s="22" t="e">
        <f t="shared" si="71"/>
        <v>#DIV/0!</v>
      </c>
    </row>
    <row r="110" spans="1:77" ht="21" hidden="1" customHeight="1" x14ac:dyDescent="0.25">
      <c r="A110" s="11"/>
      <c r="B110" s="39" t="s">
        <v>242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>
        <v>1368.2</v>
      </c>
      <c r="P110" s="22">
        <v>1368.18</v>
      </c>
      <c r="Q110" s="22">
        <v>1368.18</v>
      </c>
      <c r="R110" s="22">
        <v>3400</v>
      </c>
      <c r="S110" s="22">
        <v>3400</v>
      </c>
      <c r="T110" s="22">
        <v>3400</v>
      </c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>
        <v>3500</v>
      </c>
      <c r="AL110" s="22">
        <v>3029.2801199999999</v>
      </c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 t="e">
        <f t="shared" si="51"/>
        <v>#DIV/0!</v>
      </c>
      <c r="BH110" s="22"/>
      <c r="BI110" s="22"/>
      <c r="BJ110" s="22"/>
      <c r="BK110" s="21"/>
      <c r="BL110" s="29"/>
      <c r="BM110" s="29"/>
      <c r="BN110" s="25"/>
      <c r="BO110" s="29"/>
      <c r="BP110" s="22"/>
      <c r="BQ110" s="22" t="e">
        <f t="shared" si="66"/>
        <v>#DIV/0!</v>
      </c>
      <c r="BR110" s="22"/>
      <c r="BS110" s="22" t="e">
        <f t="shared" si="67"/>
        <v>#DIV/0!</v>
      </c>
      <c r="BT110" s="22" t="e">
        <f t="shared" si="68"/>
        <v>#DIV/0!</v>
      </c>
      <c r="BU110" s="22"/>
      <c r="BV110" s="22" t="e">
        <f t="shared" si="69"/>
        <v>#DIV/0!</v>
      </c>
      <c r="BW110" s="22" t="e">
        <f t="shared" si="70"/>
        <v>#DIV/0!</v>
      </c>
      <c r="BX110" s="22"/>
      <c r="BY110" s="22" t="e">
        <f t="shared" si="71"/>
        <v>#DIV/0!</v>
      </c>
    </row>
    <row r="111" spans="1:77" ht="21" hidden="1" customHeight="1" x14ac:dyDescent="0.25">
      <c r="A111" s="11"/>
      <c r="B111" s="39" t="s">
        <v>243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>
        <v>132.1</v>
      </c>
      <c r="AF111" s="22">
        <v>132.11699999999999</v>
      </c>
      <c r="AG111" s="22"/>
      <c r="AH111" s="22"/>
      <c r="AI111" s="22"/>
      <c r="AJ111" s="22"/>
      <c r="AK111" s="22">
        <v>114</v>
      </c>
      <c r="AL111" s="22">
        <v>114</v>
      </c>
      <c r="AM111" s="22"/>
      <c r="AN111" s="22"/>
      <c r="AO111" s="22"/>
      <c r="AP111" s="22"/>
      <c r="AQ111" s="22"/>
      <c r="AR111" s="22"/>
      <c r="AS111" s="22"/>
      <c r="AT111" s="22">
        <v>219</v>
      </c>
      <c r="AU111" s="22">
        <v>219</v>
      </c>
      <c r="AV111" s="22">
        <v>219</v>
      </c>
      <c r="AW111" s="22"/>
      <c r="AX111" s="22"/>
      <c r="AY111" s="22"/>
      <c r="AZ111" s="22"/>
      <c r="BA111" s="22"/>
      <c r="BB111" s="22"/>
      <c r="BC111" s="22">
        <v>97.7</v>
      </c>
      <c r="BD111" s="22">
        <v>97.7</v>
      </c>
      <c r="BE111" s="22">
        <v>97.7</v>
      </c>
      <c r="BF111" s="22"/>
      <c r="BG111" s="22">
        <f t="shared" si="51"/>
        <v>44.611872146118728</v>
      </c>
      <c r="BH111" s="22"/>
      <c r="BI111" s="22"/>
      <c r="BJ111" s="22"/>
      <c r="BK111" s="21"/>
      <c r="BL111" s="29"/>
      <c r="BM111" s="29"/>
      <c r="BN111" s="25"/>
      <c r="BO111" s="29"/>
      <c r="BP111" s="22"/>
      <c r="BQ111" s="22">
        <f t="shared" si="66"/>
        <v>0</v>
      </c>
      <c r="BR111" s="22"/>
      <c r="BS111" s="22" t="e">
        <f t="shared" si="67"/>
        <v>#DIV/0!</v>
      </c>
      <c r="BT111" s="22" t="e">
        <f t="shared" si="68"/>
        <v>#DIV/0!</v>
      </c>
      <c r="BU111" s="22"/>
      <c r="BV111" s="22" t="e">
        <f t="shared" si="69"/>
        <v>#DIV/0!</v>
      </c>
      <c r="BW111" s="22" t="e">
        <f t="shared" si="70"/>
        <v>#DIV/0!</v>
      </c>
      <c r="BX111" s="22"/>
      <c r="BY111" s="22" t="e">
        <f t="shared" si="71"/>
        <v>#DIV/0!</v>
      </c>
    </row>
    <row r="112" spans="1:77" ht="21" hidden="1" customHeight="1" x14ac:dyDescent="0.25">
      <c r="A112" s="11"/>
      <c r="B112" s="39" t="s">
        <v>244</v>
      </c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>
        <v>100</v>
      </c>
      <c r="AU112" s="22">
        <v>100</v>
      </c>
      <c r="AV112" s="22">
        <v>100</v>
      </c>
      <c r="AW112" s="22"/>
      <c r="AX112" s="22"/>
      <c r="AY112" s="22"/>
      <c r="AZ112" s="22"/>
      <c r="BA112" s="22"/>
      <c r="BB112" s="22"/>
      <c r="BC112" s="22">
        <v>298.60000000000002</v>
      </c>
      <c r="BD112" s="22">
        <v>298.60000000000002</v>
      </c>
      <c r="BE112" s="22">
        <v>298.60000000000002</v>
      </c>
      <c r="BF112" s="22"/>
      <c r="BG112" s="22">
        <f t="shared" si="51"/>
        <v>298.60000000000002</v>
      </c>
      <c r="BH112" s="22"/>
      <c r="BI112" s="22"/>
      <c r="BJ112" s="22"/>
      <c r="BK112" s="21"/>
      <c r="BL112" s="29"/>
      <c r="BM112" s="29"/>
      <c r="BN112" s="25"/>
      <c r="BO112" s="29"/>
      <c r="BP112" s="22"/>
      <c r="BQ112" s="22">
        <f t="shared" si="66"/>
        <v>0</v>
      </c>
      <c r="BR112" s="22"/>
      <c r="BS112" s="22" t="e">
        <f t="shared" si="67"/>
        <v>#DIV/0!</v>
      </c>
      <c r="BT112" s="22" t="e">
        <f t="shared" si="68"/>
        <v>#DIV/0!</v>
      </c>
      <c r="BU112" s="22"/>
      <c r="BV112" s="22" t="e">
        <f t="shared" si="69"/>
        <v>#DIV/0!</v>
      </c>
      <c r="BW112" s="22" t="e">
        <f t="shared" si="70"/>
        <v>#DIV/0!</v>
      </c>
      <c r="BX112" s="22"/>
      <c r="BY112" s="22" t="e">
        <f t="shared" si="71"/>
        <v>#DIV/0!</v>
      </c>
    </row>
    <row r="113" spans="1:77" ht="20.25" hidden="1" customHeight="1" x14ac:dyDescent="0.25">
      <c r="A113" s="11"/>
      <c r="B113" s="39" t="s">
        <v>245</v>
      </c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>
        <v>281</v>
      </c>
      <c r="S113" s="22">
        <v>281</v>
      </c>
      <c r="T113" s="22">
        <v>281</v>
      </c>
      <c r="U113" s="22"/>
      <c r="V113" s="22">
        <v>303</v>
      </c>
      <c r="W113" s="22">
        <v>0</v>
      </c>
      <c r="X113" s="22">
        <v>0</v>
      </c>
      <c r="Y113" s="22"/>
      <c r="Z113" s="22"/>
      <c r="AA113" s="22"/>
      <c r="AB113" s="22"/>
      <c r="AC113" s="22"/>
      <c r="AD113" s="22"/>
      <c r="AE113" s="22"/>
      <c r="AF113" s="22"/>
      <c r="AG113" s="22"/>
      <c r="AH113" s="22">
        <v>115.6</v>
      </c>
      <c r="AI113" s="22">
        <v>115.6</v>
      </c>
      <c r="AJ113" s="22">
        <v>115.6</v>
      </c>
      <c r="AK113" s="22">
        <v>115.6</v>
      </c>
      <c r="AL113" s="22">
        <v>115.6</v>
      </c>
      <c r="AM113" s="22"/>
      <c r="AN113" s="22">
        <v>65.3</v>
      </c>
      <c r="AO113" s="22">
        <v>65.3</v>
      </c>
      <c r="AP113" s="22">
        <v>65.3</v>
      </c>
      <c r="AQ113" s="22">
        <v>65.3</v>
      </c>
      <c r="AR113" s="22">
        <v>65.3</v>
      </c>
      <c r="AS113" s="22"/>
      <c r="AT113" s="22">
        <v>65.3</v>
      </c>
      <c r="AU113" s="22">
        <v>65.3</v>
      </c>
      <c r="AV113" s="22">
        <v>65.3</v>
      </c>
      <c r="AW113" s="22"/>
      <c r="AX113" s="22">
        <v>115</v>
      </c>
      <c r="AY113" s="22">
        <v>115</v>
      </c>
      <c r="AZ113" s="22">
        <v>115</v>
      </c>
      <c r="BA113" s="22">
        <v>115</v>
      </c>
      <c r="BB113" s="22">
        <v>115</v>
      </c>
      <c r="BC113" s="22">
        <v>115</v>
      </c>
      <c r="BD113" s="22">
        <v>115</v>
      </c>
      <c r="BE113" s="22">
        <f>115+568</f>
        <v>683</v>
      </c>
      <c r="BF113" s="22"/>
      <c r="BG113" s="22">
        <f t="shared" si="51"/>
        <v>1045.9418070444106</v>
      </c>
      <c r="BH113" s="22">
        <v>161</v>
      </c>
      <c r="BI113" s="22">
        <v>161</v>
      </c>
      <c r="BJ113" s="22">
        <v>161</v>
      </c>
      <c r="BK113" s="21">
        <v>161</v>
      </c>
      <c r="BL113" s="29">
        <v>161</v>
      </c>
      <c r="BM113" s="29"/>
      <c r="BN113" s="25"/>
      <c r="BO113" s="29"/>
      <c r="BP113" s="22"/>
      <c r="BQ113" s="22">
        <f t="shared" si="66"/>
        <v>0</v>
      </c>
      <c r="BR113" s="22">
        <v>418</v>
      </c>
      <c r="BS113" s="22" t="e">
        <f t="shared" si="67"/>
        <v>#DIV/0!</v>
      </c>
      <c r="BT113" s="22">
        <f t="shared" si="68"/>
        <v>259.62732919254654</v>
      </c>
      <c r="BU113" s="22">
        <v>418</v>
      </c>
      <c r="BV113" s="22">
        <f t="shared" si="69"/>
        <v>100</v>
      </c>
      <c r="BW113" s="22">
        <f t="shared" si="70"/>
        <v>259.62732919254654</v>
      </c>
      <c r="BX113" s="22">
        <v>418</v>
      </c>
      <c r="BY113" s="22">
        <f t="shared" si="71"/>
        <v>100</v>
      </c>
    </row>
    <row r="114" spans="1:77" ht="21" hidden="1" customHeight="1" x14ac:dyDescent="0.25">
      <c r="A114" s="11"/>
      <c r="B114" s="39" t="s">
        <v>246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>
        <v>91.5</v>
      </c>
      <c r="X114" s="22">
        <v>91.532489999999996</v>
      </c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 t="e">
        <f t="shared" si="51"/>
        <v>#DIV/0!</v>
      </c>
      <c r="BH114" s="22"/>
      <c r="BI114" s="22"/>
      <c r="BJ114" s="22"/>
      <c r="BK114" s="21"/>
      <c r="BL114" s="29"/>
      <c r="BM114" s="29"/>
      <c r="BN114" s="25"/>
      <c r="BO114" s="29"/>
      <c r="BP114" s="22"/>
      <c r="BQ114" s="22" t="e">
        <f t="shared" si="66"/>
        <v>#DIV/0!</v>
      </c>
      <c r="BR114" s="22"/>
      <c r="BS114" s="22" t="e">
        <f t="shared" si="67"/>
        <v>#DIV/0!</v>
      </c>
      <c r="BT114" s="22" t="e">
        <f t="shared" si="68"/>
        <v>#DIV/0!</v>
      </c>
      <c r="BU114" s="22"/>
      <c r="BV114" s="22" t="e">
        <f t="shared" si="69"/>
        <v>#DIV/0!</v>
      </c>
      <c r="BW114" s="22" t="e">
        <f t="shared" si="70"/>
        <v>#DIV/0!</v>
      </c>
      <c r="BX114" s="22"/>
      <c r="BY114" s="22" t="e">
        <f t="shared" si="71"/>
        <v>#DIV/0!</v>
      </c>
    </row>
    <row r="115" spans="1:77" ht="21" hidden="1" customHeight="1" x14ac:dyDescent="0.25">
      <c r="A115" s="11"/>
      <c r="B115" s="39" t="s">
        <v>247</v>
      </c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>
        <v>14513.7</v>
      </c>
      <c r="AU115" s="22">
        <v>19993.7</v>
      </c>
      <c r="AV115" s="22">
        <v>19993.8</v>
      </c>
      <c r="AW115" s="22"/>
      <c r="AX115" s="22">
        <v>16162.1</v>
      </c>
      <c r="AY115" s="22">
        <v>4431.6000000000004</v>
      </c>
      <c r="AZ115" s="22">
        <v>3317.3</v>
      </c>
      <c r="BA115" s="22">
        <v>16162.1</v>
      </c>
      <c r="BB115" s="22">
        <v>16162.1</v>
      </c>
      <c r="BC115" s="22">
        <v>21179.1</v>
      </c>
      <c r="BD115" s="22">
        <v>21179.1</v>
      </c>
      <c r="BE115" s="22">
        <v>21839</v>
      </c>
      <c r="BF115" s="22"/>
      <c r="BG115" s="22">
        <f t="shared" si="51"/>
        <v>109.22886094689355</v>
      </c>
      <c r="BH115" s="22">
        <v>9189.4</v>
      </c>
      <c r="BI115" s="22">
        <v>2914.7</v>
      </c>
      <c r="BJ115" s="22">
        <v>2307.5</v>
      </c>
      <c r="BK115" s="21">
        <v>10389.299999999999</v>
      </c>
      <c r="BL115" s="29">
        <v>19123.599999999999</v>
      </c>
      <c r="BM115" s="29"/>
      <c r="BN115" s="25"/>
      <c r="BO115" s="29"/>
      <c r="BP115" s="22"/>
      <c r="BQ115" s="22">
        <f t="shared" si="66"/>
        <v>0</v>
      </c>
      <c r="BR115" s="22">
        <v>12403.3</v>
      </c>
      <c r="BS115" s="22" t="e">
        <f t="shared" si="67"/>
        <v>#DIV/0!</v>
      </c>
      <c r="BT115" s="22">
        <f t="shared" si="68"/>
        <v>425.54293752358728</v>
      </c>
      <c r="BU115" s="22">
        <v>6729.4</v>
      </c>
      <c r="BV115" s="22">
        <f t="shared" si="69"/>
        <v>54.254916030411259</v>
      </c>
      <c r="BW115" s="22">
        <f t="shared" si="70"/>
        <v>291.6316359696641</v>
      </c>
      <c r="BX115" s="22">
        <v>4457.1000000000004</v>
      </c>
      <c r="BY115" s="22">
        <f t="shared" si="71"/>
        <v>66.233245163016036</v>
      </c>
    </row>
    <row r="116" spans="1:77" ht="22.5" hidden="1" customHeight="1" x14ac:dyDescent="0.25">
      <c r="A116" s="11" t="s">
        <v>248</v>
      </c>
      <c r="B116" s="39" t="s">
        <v>249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>
        <v>0</v>
      </c>
      <c r="N116" s="22"/>
      <c r="O116" s="22"/>
      <c r="P116" s="22"/>
      <c r="Q116" s="22">
        <v>0</v>
      </c>
      <c r="R116" s="22"/>
      <c r="S116" s="22"/>
      <c r="T116" s="22"/>
      <c r="U116" s="22">
        <v>74239.675010000006</v>
      </c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 t="e">
        <f t="shared" si="51"/>
        <v>#DIV/0!</v>
      </c>
      <c r="BH116" s="22"/>
      <c r="BI116" s="22"/>
      <c r="BJ116" s="22"/>
      <c r="BK116" s="21"/>
      <c r="BL116" s="29"/>
      <c r="BM116" s="29"/>
      <c r="BN116" s="25"/>
      <c r="BO116" s="29"/>
      <c r="BP116" s="22"/>
      <c r="BQ116" s="22" t="e">
        <f t="shared" si="66"/>
        <v>#DIV/0!</v>
      </c>
      <c r="BR116" s="22"/>
      <c r="BS116" s="22" t="e">
        <f t="shared" si="67"/>
        <v>#DIV/0!</v>
      </c>
      <c r="BT116" s="22" t="e">
        <f t="shared" si="68"/>
        <v>#DIV/0!</v>
      </c>
      <c r="BU116" s="22"/>
      <c r="BV116" s="22" t="e">
        <f t="shared" si="69"/>
        <v>#DIV/0!</v>
      </c>
      <c r="BW116" s="22" t="e">
        <f t="shared" si="70"/>
        <v>#DIV/0!</v>
      </c>
      <c r="BX116" s="22"/>
      <c r="BY116" s="22" t="e">
        <f t="shared" si="71"/>
        <v>#DIV/0!</v>
      </c>
    </row>
    <row r="117" spans="1:77" ht="24.75" hidden="1" customHeight="1" x14ac:dyDescent="0.25">
      <c r="A117" s="19" t="s">
        <v>250</v>
      </c>
      <c r="B117" s="20" t="s">
        <v>251</v>
      </c>
      <c r="C117" s="21">
        <f t="shared" ref="C117:AL117" si="85">C118</f>
        <v>0</v>
      </c>
      <c r="D117" s="21">
        <f t="shared" si="85"/>
        <v>0</v>
      </c>
      <c r="E117" s="21">
        <f t="shared" si="85"/>
        <v>0</v>
      </c>
      <c r="F117" s="21">
        <f t="shared" si="85"/>
        <v>0</v>
      </c>
      <c r="G117" s="21">
        <f t="shared" si="85"/>
        <v>0</v>
      </c>
      <c r="H117" s="21">
        <f t="shared" si="85"/>
        <v>0</v>
      </c>
      <c r="I117" s="21">
        <f t="shared" si="85"/>
        <v>0</v>
      </c>
      <c r="J117" s="21">
        <f t="shared" si="85"/>
        <v>0</v>
      </c>
      <c r="K117" s="21">
        <f t="shared" si="85"/>
        <v>242.5</v>
      </c>
      <c r="L117" s="21">
        <f>L118</f>
        <v>242.53899999999999</v>
      </c>
      <c r="M117" s="21">
        <f>M118</f>
        <v>5950.4635799999996</v>
      </c>
      <c r="N117" s="21">
        <f t="shared" si="85"/>
        <v>0</v>
      </c>
      <c r="O117" s="21">
        <f t="shared" si="85"/>
        <v>100</v>
      </c>
      <c r="P117" s="21">
        <f>P118</f>
        <v>100</v>
      </c>
      <c r="Q117" s="21">
        <f>Q118</f>
        <v>16793.878639999999</v>
      </c>
      <c r="R117" s="21">
        <f t="shared" si="85"/>
        <v>0</v>
      </c>
      <c r="S117" s="21">
        <f t="shared" si="85"/>
        <v>50</v>
      </c>
      <c r="T117" s="21">
        <f>T118</f>
        <v>50</v>
      </c>
      <c r="U117" s="21">
        <f>U118</f>
        <v>1184.49161</v>
      </c>
      <c r="V117" s="21">
        <f t="shared" si="85"/>
        <v>0</v>
      </c>
      <c r="W117" s="21">
        <f t="shared" si="85"/>
        <v>0</v>
      </c>
      <c r="X117" s="21">
        <f>X118</f>
        <v>0</v>
      </c>
      <c r="Y117" s="21">
        <f>Y118</f>
        <v>0</v>
      </c>
      <c r="Z117" s="21">
        <f t="shared" si="85"/>
        <v>0</v>
      </c>
      <c r="AA117" s="21">
        <f t="shared" si="85"/>
        <v>0</v>
      </c>
      <c r="AB117" s="21">
        <f>AB118</f>
        <v>0</v>
      </c>
      <c r="AC117" s="21">
        <f>AC118</f>
        <v>164562.53552</v>
      </c>
      <c r="AD117" s="21">
        <f t="shared" si="85"/>
        <v>0</v>
      </c>
      <c r="AE117" s="21">
        <f t="shared" si="85"/>
        <v>0</v>
      </c>
      <c r="AF117" s="21">
        <f t="shared" si="85"/>
        <v>0</v>
      </c>
      <c r="AG117" s="21">
        <f t="shared" si="85"/>
        <v>0</v>
      </c>
      <c r="AH117" s="21">
        <f t="shared" si="85"/>
        <v>0</v>
      </c>
      <c r="AI117" s="21">
        <f t="shared" si="85"/>
        <v>0</v>
      </c>
      <c r="AJ117" s="21">
        <f t="shared" si="85"/>
        <v>0</v>
      </c>
      <c r="AK117" s="21">
        <f t="shared" si="85"/>
        <v>421</v>
      </c>
      <c r="AL117" s="21">
        <f t="shared" si="85"/>
        <v>421</v>
      </c>
      <c r="AM117" s="21">
        <f>AM118+AM119+AM121</f>
        <v>87801.843610000011</v>
      </c>
      <c r="AN117" s="21">
        <f t="shared" ref="AN117:AU117" si="86">AN118</f>
        <v>0</v>
      </c>
      <c r="AO117" s="21">
        <f t="shared" si="86"/>
        <v>0</v>
      </c>
      <c r="AP117" s="21">
        <f t="shared" si="86"/>
        <v>0</v>
      </c>
      <c r="AQ117" s="21">
        <f t="shared" si="86"/>
        <v>0</v>
      </c>
      <c r="AR117" s="21">
        <f t="shared" si="86"/>
        <v>0</v>
      </c>
      <c r="AS117" s="21">
        <f t="shared" si="86"/>
        <v>0</v>
      </c>
      <c r="AT117" s="21">
        <f t="shared" si="86"/>
        <v>0</v>
      </c>
      <c r="AU117" s="21">
        <f t="shared" si="86"/>
        <v>0</v>
      </c>
      <c r="AV117" s="21">
        <f>AV118</f>
        <v>0</v>
      </c>
      <c r="AW117" s="21">
        <f>AW118+AW119+AW121+AW120</f>
        <v>38040.957619999994</v>
      </c>
      <c r="AX117" s="21">
        <f t="shared" ref="AX117:BH117" si="87">AX118</f>
        <v>0</v>
      </c>
      <c r="AY117" s="21">
        <f>AY118</f>
        <v>0</v>
      </c>
      <c r="AZ117" s="21">
        <f>AZ118</f>
        <v>0</v>
      </c>
      <c r="BA117" s="21">
        <f t="shared" si="87"/>
        <v>0</v>
      </c>
      <c r="BB117" s="21">
        <f t="shared" si="87"/>
        <v>0</v>
      </c>
      <c r="BC117" s="21">
        <f t="shared" si="87"/>
        <v>0</v>
      </c>
      <c r="BD117" s="21">
        <f t="shared" si="87"/>
        <v>0</v>
      </c>
      <c r="BE117" s="21">
        <f t="shared" si="87"/>
        <v>0</v>
      </c>
      <c r="BF117" s="21">
        <f>BF118+BF119+BF121+BF120</f>
        <v>64250.592539999998</v>
      </c>
      <c r="BG117" s="22" t="e">
        <f t="shared" si="51"/>
        <v>#DIV/0!</v>
      </c>
      <c r="BH117" s="21">
        <f t="shared" si="87"/>
        <v>0</v>
      </c>
      <c r="BI117" s="21">
        <f>BI118</f>
        <v>0</v>
      </c>
      <c r="BJ117" s="21">
        <f>BJ118</f>
        <v>0</v>
      </c>
      <c r="BK117" s="23">
        <f>BK118</f>
        <v>0</v>
      </c>
      <c r="BL117" s="24">
        <f>BL118</f>
        <v>0</v>
      </c>
      <c r="BM117" s="24">
        <f>BM118</f>
        <v>0</v>
      </c>
      <c r="BN117" s="25"/>
      <c r="BO117" s="24"/>
      <c r="BP117" s="21">
        <f t="shared" ref="BP117:BR117" si="88">BP118</f>
        <v>0</v>
      </c>
      <c r="BQ117" s="22" t="e">
        <f t="shared" si="66"/>
        <v>#DIV/0!</v>
      </c>
      <c r="BR117" s="21">
        <f t="shared" si="88"/>
        <v>0</v>
      </c>
      <c r="BS117" s="22" t="e">
        <f t="shared" si="67"/>
        <v>#DIV/0!</v>
      </c>
      <c r="BT117" s="22" t="e">
        <f t="shared" si="68"/>
        <v>#DIV/0!</v>
      </c>
      <c r="BU117" s="21">
        <f>BU118</f>
        <v>0</v>
      </c>
      <c r="BV117" s="22" t="e">
        <f t="shared" si="69"/>
        <v>#DIV/0!</v>
      </c>
      <c r="BW117" s="22" t="e">
        <f t="shared" si="70"/>
        <v>#DIV/0!</v>
      </c>
      <c r="BX117" s="21">
        <f>BX118</f>
        <v>0</v>
      </c>
      <c r="BY117" s="22" t="e">
        <f t="shared" si="71"/>
        <v>#DIV/0!</v>
      </c>
    </row>
    <row r="118" spans="1:77" ht="7.5" hidden="1" customHeight="1" x14ac:dyDescent="0.25">
      <c r="A118" s="11" t="s">
        <v>252</v>
      </c>
      <c r="B118" s="39" t="s">
        <v>253</v>
      </c>
      <c r="C118" s="22">
        <f>648-648</f>
        <v>0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242.5</v>
      </c>
      <c r="L118" s="22">
        <v>242.53899999999999</v>
      </c>
      <c r="M118" s="22">
        <f>242.539+5707.92458</f>
        <v>5950.4635799999996</v>
      </c>
      <c r="N118" s="22">
        <v>0</v>
      </c>
      <c r="O118" s="22">
        <v>100</v>
      </c>
      <c r="P118" s="22">
        <v>100</v>
      </c>
      <c r="Q118" s="22">
        <v>16793.878639999999</v>
      </c>
      <c r="R118" s="22">
        <v>0</v>
      </c>
      <c r="S118" s="22">
        <v>50</v>
      </c>
      <c r="T118" s="22">
        <v>50</v>
      </c>
      <c r="U118" s="22">
        <f>1134.49161+50</f>
        <v>1184.49161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164562.53552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  <c r="AI118" s="22">
        <v>0</v>
      </c>
      <c r="AJ118" s="22">
        <v>0</v>
      </c>
      <c r="AK118" s="22">
        <v>421</v>
      </c>
      <c r="AL118" s="22">
        <v>421</v>
      </c>
      <c r="AM118" s="22">
        <v>421</v>
      </c>
      <c r="AN118" s="22">
        <v>0</v>
      </c>
      <c r="AO118" s="22">
        <v>0</v>
      </c>
      <c r="AP118" s="22">
        <v>0</v>
      </c>
      <c r="AQ118" s="22">
        <v>0</v>
      </c>
      <c r="AR118" s="22">
        <v>0</v>
      </c>
      <c r="AS118" s="22"/>
      <c r="AT118" s="22"/>
      <c r="AU118" s="22">
        <v>0</v>
      </c>
      <c r="AV118" s="22">
        <v>0</v>
      </c>
      <c r="AW118" s="22">
        <v>0</v>
      </c>
      <c r="AX118" s="22">
        <v>0</v>
      </c>
      <c r="AY118" s="22">
        <v>0</v>
      </c>
      <c r="AZ118" s="22">
        <v>0</v>
      </c>
      <c r="BA118" s="22">
        <v>0</v>
      </c>
      <c r="BB118" s="22">
        <v>0</v>
      </c>
      <c r="BC118" s="22">
        <v>0</v>
      </c>
      <c r="BD118" s="22">
        <v>0</v>
      </c>
      <c r="BE118" s="22">
        <v>0</v>
      </c>
      <c r="BF118" s="22">
        <v>0</v>
      </c>
      <c r="BG118" s="22" t="e">
        <f t="shared" si="51"/>
        <v>#DIV/0!</v>
      </c>
      <c r="BH118" s="22">
        <v>0</v>
      </c>
      <c r="BI118" s="22">
        <v>0</v>
      </c>
      <c r="BJ118" s="22">
        <v>0</v>
      </c>
      <c r="BK118" s="21"/>
      <c r="BL118" s="29"/>
      <c r="BM118" s="29"/>
      <c r="BN118" s="25"/>
      <c r="BO118" s="29"/>
      <c r="BP118" s="22">
        <v>0</v>
      </c>
      <c r="BQ118" s="22" t="e">
        <f t="shared" si="66"/>
        <v>#DIV/0!</v>
      </c>
      <c r="BR118" s="22">
        <v>0</v>
      </c>
      <c r="BS118" s="22" t="e">
        <f t="shared" si="67"/>
        <v>#DIV/0!</v>
      </c>
      <c r="BT118" s="22" t="e">
        <f t="shared" si="68"/>
        <v>#DIV/0!</v>
      </c>
      <c r="BU118" s="22">
        <v>0</v>
      </c>
      <c r="BV118" s="22" t="e">
        <f t="shared" si="69"/>
        <v>#DIV/0!</v>
      </c>
      <c r="BW118" s="22" t="e">
        <f t="shared" si="70"/>
        <v>#DIV/0!</v>
      </c>
      <c r="BX118" s="22">
        <v>0</v>
      </c>
      <c r="BY118" s="22" t="e">
        <f t="shared" si="71"/>
        <v>#DIV/0!</v>
      </c>
    </row>
    <row r="119" spans="1:77" ht="7.5" hidden="1" customHeight="1" x14ac:dyDescent="0.25">
      <c r="A119" s="11" t="s">
        <v>254</v>
      </c>
      <c r="B119" s="39" t="s">
        <v>255</v>
      </c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>
        <v>101664.91533</v>
      </c>
      <c r="N119" s="22"/>
      <c r="O119" s="22"/>
      <c r="P119" s="22"/>
      <c r="Q119" s="22">
        <f>136878.53135-1507.76166+0.03/1000</f>
        <v>135370.76972000001</v>
      </c>
      <c r="R119" s="22"/>
      <c r="S119" s="22"/>
      <c r="T119" s="22"/>
      <c r="U119" s="22"/>
      <c r="V119" s="22"/>
      <c r="W119" s="22"/>
      <c r="X119" s="22"/>
      <c r="Y119" s="22">
        <v>139466.17444</v>
      </c>
      <c r="Z119" s="22"/>
      <c r="AA119" s="22"/>
      <c r="AB119" s="22"/>
      <c r="AC119" s="22">
        <v>8468.9200099999998</v>
      </c>
      <c r="AD119" s="22"/>
      <c r="AE119" s="22"/>
      <c r="AF119" s="22"/>
      <c r="AG119" s="22">
        <v>59608.670980000003</v>
      </c>
      <c r="AH119" s="22"/>
      <c r="AI119" s="22"/>
      <c r="AJ119" s="22"/>
      <c r="AK119" s="22"/>
      <c r="AL119" s="22"/>
      <c r="AM119" s="22">
        <v>46822.54219</v>
      </c>
      <c r="AN119" s="22"/>
      <c r="AO119" s="22"/>
      <c r="AP119" s="22"/>
      <c r="AQ119" s="22"/>
      <c r="AR119" s="22"/>
      <c r="AS119" s="22"/>
      <c r="AT119" s="22"/>
      <c r="AU119" s="22"/>
      <c r="AV119" s="22"/>
      <c r="AW119" s="22">
        <v>38019.117619999997</v>
      </c>
      <c r="AX119" s="22"/>
      <c r="AY119" s="22"/>
      <c r="AZ119" s="22"/>
      <c r="BA119" s="22"/>
      <c r="BB119" s="22"/>
      <c r="BC119" s="22"/>
      <c r="BD119" s="22"/>
      <c r="BE119" s="22"/>
      <c r="BF119" s="22">
        <v>26522.91676</v>
      </c>
      <c r="BG119" s="22" t="e">
        <f t="shared" si="51"/>
        <v>#DIV/0!</v>
      </c>
      <c r="BH119" s="22"/>
      <c r="BI119" s="22"/>
      <c r="BJ119" s="22"/>
      <c r="BK119" s="21"/>
      <c r="BL119" s="29"/>
      <c r="BM119" s="29"/>
      <c r="BN119" s="25"/>
      <c r="BO119" s="29"/>
      <c r="BP119" s="22"/>
      <c r="BQ119" s="22" t="e">
        <f t="shared" si="66"/>
        <v>#DIV/0!</v>
      </c>
      <c r="BR119" s="22"/>
      <c r="BS119" s="22" t="e">
        <f t="shared" si="67"/>
        <v>#DIV/0!</v>
      </c>
      <c r="BT119" s="22" t="e">
        <f t="shared" si="68"/>
        <v>#DIV/0!</v>
      </c>
      <c r="BU119" s="22"/>
      <c r="BV119" s="22" t="e">
        <f t="shared" si="69"/>
        <v>#DIV/0!</v>
      </c>
      <c r="BW119" s="22" t="e">
        <f t="shared" si="70"/>
        <v>#DIV/0!</v>
      </c>
      <c r="BX119" s="22"/>
      <c r="BY119" s="22" t="e">
        <f t="shared" si="71"/>
        <v>#DIV/0!</v>
      </c>
    </row>
    <row r="120" spans="1:77" ht="7.5" hidden="1" customHeight="1" x14ac:dyDescent="0.25">
      <c r="A120" s="11" t="s">
        <v>256</v>
      </c>
      <c r="B120" s="39" t="s">
        <v>257</v>
      </c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>
        <v>21.227</v>
      </c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>
        <v>21.84</v>
      </c>
      <c r="AX120" s="22"/>
      <c r="AY120" s="22"/>
      <c r="AZ120" s="22"/>
      <c r="BA120" s="22"/>
      <c r="BB120" s="22"/>
      <c r="BC120" s="22"/>
      <c r="BD120" s="22"/>
      <c r="BE120" s="22"/>
      <c r="BF120" s="22"/>
      <c r="BG120" s="22" t="e">
        <f t="shared" si="51"/>
        <v>#DIV/0!</v>
      </c>
      <c r="BH120" s="22"/>
      <c r="BI120" s="22"/>
      <c r="BJ120" s="22"/>
      <c r="BK120" s="21"/>
      <c r="BL120" s="29"/>
      <c r="BM120" s="29"/>
      <c r="BN120" s="25"/>
      <c r="BO120" s="29"/>
      <c r="BP120" s="22"/>
      <c r="BQ120" s="22" t="e">
        <f t="shared" si="66"/>
        <v>#DIV/0!</v>
      </c>
      <c r="BR120" s="22"/>
      <c r="BS120" s="22" t="e">
        <f t="shared" si="67"/>
        <v>#DIV/0!</v>
      </c>
      <c r="BT120" s="22" t="e">
        <f t="shared" si="68"/>
        <v>#DIV/0!</v>
      </c>
      <c r="BU120" s="22"/>
      <c r="BV120" s="22" t="e">
        <f t="shared" si="69"/>
        <v>#DIV/0!</v>
      </c>
      <c r="BW120" s="22" t="e">
        <f t="shared" si="70"/>
        <v>#DIV/0!</v>
      </c>
      <c r="BX120" s="22"/>
      <c r="BY120" s="22" t="e">
        <f t="shared" si="71"/>
        <v>#DIV/0!</v>
      </c>
    </row>
    <row r="121" spans="1:77" ht="7.5" hidden="1" customHeight="1" x14ac:dyDescent="0.25">
      <c r="A121" s="11" t="s">
        <v>258</v>
      </c>
      <c r="B121" s="39" t="s">
        <v>259</v>
      </c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>
        <v>40558.301420000003</v>
      </c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>
        <v>37727.675779999998</v>
      </c>
      <c r="BG121" s="22" t="e">
        <f t="shared" si="51"/>
        <v>#DIV/0!</v>
      </c>
      <c r="BH121" s="22"/>
      <c r="BI121" s="22"/>
      <c r="BJ121" s="22"/>
      <c r="BK121" s="21"/>
      <c r="BL121" s="29"/>
      <c r="BM121" s="29"/>
      <c r="BN121" s="25"/>
      <c r="BO121" s="29"/>
      <c r="BP121" s="22"/>
      <c r="BQ121" s="22" t="e">
        <f t="shared" si="66"/>
        <v>#DIV/0!</v>
      </c>
      <c r="BR121" s="22"/>
      <c r="BS121" s="22" t="e">
        <f t="shared" si="67"/>
        <v>#DIV/0!</v>
      </c>
      <c r="BT121" s="22" t="e">
        <f t="shared" si="68"/>
        <v>#DIV/0!</v>
      </c>
      <c r="BU121" s="22"/>
      <c r="BV121" s="22" t="e">
        <f t="shared" si="69"/>
        <v>#DIV/0!</v>
      </c>
      <c r="BW121" s="22" t="e">
        <f t="shared" si="70"/>
        <v>#DIV/0!</v>
      </c>
      <c r="BX121" s="22"/>
      <c r="BY121" s="22" t="e">
        <f t="shared" si="71"/>
        <v>#DIV/0!</v>
      </c>
    </row>
    <row r="122" spans="1:77" ht="38.25" customHeight="1" x14ac:dyDescent="0.25">
      <c r="A122" s="11" t="s">
        <v>260</v>
      </c>
      <c r="B122" s="39" t="s">
        <v>261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0</v>
      </c>
      <c r="AA122" s="22">
        <v>0</v>
      </c>
      <c r="AB122" s="22">
        <v>0</v>
      </c>
      <c r="AC122" s="22">
        <v>0</v>
      </c>
      <c r="AD122" s="22">
        <v>0</v>
      </c>
      <c r="AE122" s="22">
        <v>0</v>
      </c>
      <c r="AF122" s="22">
        <v>0</v>
      </c>
      <c r="AG122" s="22">
        <v>0</v>
      </c>
      <c r="AH122" s="22">
        <v>0</v>
      </c>
      <c r="AI122" s="22">
        <v>0</v>
      </c>
      <c r="AJ122" s="22">
        <v>0</v>
      </c>
      <c r="AK122" s="22">
        <v>0</v>
      </c>
      <c r="AL122" s="22">
        <v>0</v>
      </c>
      <c r="AM122" s="22">
        <v>0</v>
      </c>
      <c r="AN122" s="22">
        <v>0</v>
      </c>
      <c r="AO122" s="22">
        <v>0</v>
      </c>
      <c r="AP122" s="22">
        <v>0</v>
      </c>
      <c r="AQ122" s="22">
        <v>-470.7</v>
      </c>
      <c r="AR122" s="22">
        <v>-470.7</v>
      </c>
      <c r="AS122" s="22">
        <v>-470.7</v>
      </c>
      <c r="AT122" s="22">
        <v>-470.7</v>
      </c>
      <c r="AU122" s="22">
        <v>-470.7</v>
      </c>
      <c r="AV122" s="22">
        <v>-470.71987999999999</v>
      </c>
      <c r="AW122" s="22">
        <v>-470.71987999999999</v>
      </c>
      <c r="AX122" s="22">
        <v>0</v>
      </c>
      <c r="AY122" s="22">
        <v>0</v>
      </c>
      <c r="AZ122" s="22">
        <v>0</v>
      </c>
      <c r="BA122" s="22">
        <v>0</v>
      </c>
      <c r="BB122" s="22">
        <v>0</v>
      </c>
      <c r="BC122" s="22">
        <v>0</v>
      </c>
      <c r="BD122" s="22">
        <v>0</v>
      </c>
      <c r="BE122" s="22"/>
      <c r="BF122" s="22"/>
      <c r="BG122" s="22"/>
      <c r="BH122" s="22">
        <v>0</v>
      </c>
      <c r="BI122" s="22">
        <v>0</v>
      </c>
      <c r="BJ122" s="22">
        <v>0</v>
      </c>
      <c r="BK122" s="21"/>
      <c r="BL122" s="29"/>
      <c r="BM122" s="29"/>
      <c r="BN122" s="25"/>
      <c r="BO122" s="29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</row>
    <row r="123" spans="1:77" ht="17.25" customHeight="1" x14ac:dyDescent="0.25">
      <c r="A123" s="51" t="s">
        <v>262</v>
      </c>
      <c r="B123" s="52"/>
      <c r="C123" s="21">
        <f t="shared" ref="C123:BF123" si="89">+C66+C7</f>
        <v>47558.023929999996</v>
      </c>
      <c r="D123" s="21">
        <f t="shared" si="89"/>
        <v>39079.600000000006</v>
      </c>
      <c r="E123" s="21">
        <f t="shared" si="89"/>
        <v>65432.3</v>
      </c>
      <c r="F123" s="21">
        <f t="shared" si="89"/>
        <v>61313.054100000001</v>
      </c>
      <c r="G123" s="21">
        <f t="shared" si="89"/>
        <v>43106.9</v>
      </c>
      <c r="H123" s="21">
        <f t="shared" si="89"/>
        <v>53136.200000000004</v>
      </c>
      <c r="I123" s="21">
        <f t="shared" si="89"/>
        <v>52322.151769999997</v>
      </c>
      <c r="J123" s="21">
        <f t="shared" si="89"/>
        <v>43424.4</v>
      </c>
      <c r="K123" s="21">
        <f t="shared" si="89"/>
        <v>50857</v>
      </c>
      <c r="L123" s="21">
        <f t="shared" si="89"/>
        <v>50257.007689999999</v>
      </c>
      <c r="M123" s="21">
        <f t="shared" si="89"/>
        <v>156364.17963000003</v>
      </c>
      <c r="N123" s="21">
        <f t="shared" si="89"/>
        <v>44290.3</v>
      </c>
      <c r="O123" s="21">
        <f t="shared" si="89"/>
        <v>56810.9</v>
      </c>
      <c r="P123" s="21">
        <f t="shared" si="89"/>
        <v>55330.346720000001</v>
      </c>
      <c r="Q123" s="21">
        <f t="shared" si="89"/>
        <v>163494.12627000001</v>
      </c>
      <c r="R123" s="21">
        <f t="shared" si="89"/>
        <v>54924.4</v>
      </c>
      <c r="S123" s="21">
        <f t="shared" si="89"/>
        <v>59194</v>
      </c>
      <c r="T123" s="21">
        <f t="shared" si="89"/>
        <v>59255.160210000002</v>
      </c>
      <c r="U123" s="21">
        <f t="shared" si="89"/>
        <v>125251.30763</v>
      </c>
      <c r="V123" s="21">
        <f t="shared" si="89"/>
        <v>48401.302009999999</v>
      </c>
      <c r="W123" s="21">
        <f t="shared" si="89"/>
        <v>75778.100000000006</v>
      </c>
      <c r="X123" s="21">
        <f t="shared" si="89"/>
        <v>75853.324210000006</v>
      </c>
      <c r="Y123" s="21">
        <f t="shared" si="89"/>
        <v>215280.99731000001</v>
      </c>
      <c r="Z123" s="21">
        <f t="shared" si="89"/>
        <v>47377.702010000001</v>
      </c>
      <c r="AA123" s="21">
        <f t="shared" si="89"/>
        <v>58040.439999999995</v>
      </c>
      <c r="AB123" s="21">
        <f t="shared" si="89"/>
        <v>59416.625889999996</v>
      </c>
      <c r="AC123" s="21">
        <f t="shared" si="89"/>
        <v>234647.80937999999</v>
      </c>
      <c r="AD123" s="21">
        <f t="shared" si="89"/>
        <v>49649.102010000002</v>
      </c>
      <c r="AE123" s="21">
        <f t="shared" si="89"/>
        <v>61107.199999999997</v>
      </c>
      <c r="AF123" s="21">
        <f t="shared" si="89"/>
        <v>61617.876949999991</v>
      </c>
      <c r="AG123" s="21">
        <f t="shared" si="89"/>
        <v>89249.060919999989</v>
      </c>
      <c r="AH123" s="21">
        <f t="shared" si="89"/>
        <v>54211.402010000005</v>
      </c>
      <c r="AI123" s="21">
        <f t="shared" si="89"/>
        <v>53303.802009999999</v>
      </c>
      <c r="AJ123" s="21">
        <f t="shared" si="89"/>
        <v>53316.902009999998</v>
      </c>
      <c r="AK123" s="21">
        <f t="shared" si="89"/>
        <v>100905.9</v>
      </c>
      <c r="AL123" s="21">
        <f t="shared" si="89"/>
        <v>100981.48639000001</v>
      </c>
      <c r="AM123" s="21">
        <f t="shared" si="89"/>
        <v>267888.34791999997</v>
      </c>
      <c r="AN123" s="21">
        <f t="shared" si="89"/>
        <v>51967.002010000004</v>
      </c>
      <c r="AO123" s="21">
        <f t="shared" si="89"/>
        <v>51973.002010000004</v>
      </c>
      <c r="AP123" s="21">
        <f t="shared" si="89"/>
        <v>51979.002010000004</v>
      </c>
      <c r="AQ123" s="21">
        <f t="shared" si="89"/>
        <v>66743.399999999994</v>
      </c>
      <c r="AR123" s="21">
        <f t="shared" si="89"/>
        <v>71002.8</v>
      </c>
      <c r="AS123" s="21">
        <f t="shared" si="89"/>
        <v>65726.100000000006</v>
      </c>
      <c r="AT123" s="21">
        <f t="shared" si="89"/>
        <v>69012.400000000009</v>
      </c>
      <c r="AU123" s="21">
        <f t="shared" si="89"/>
        <v>76253.700000000012</v>
      </c>
      <c r="AV123" s="21">
        <f t="shared" si="89"/>
        <v>77475.654390000011</v>
      </c>
      <c r="AW123" s="21">
        <f t="shared" si="89"/>
        <v>107298.8652</v>
      </c>
      <c r="AX123" s="21">
        <f t="shared" si="89"/>
        <v>66286.602010000002</v>
      </c>
      <c r="AY123" s="21">
        <f t="shared" si="89"/>
        <v>50940.402010000005</v>
      </c>
      <c r="AZ123" s="21">
        <f t="shared" si="89"/>
        <v>50956.702010000001</v>
      </c>
      <c r="BA123" s="21">
        <f t="shared" si="89"/>
        <v>71202.600000000006</v>
      </c>
      <c r="BB123" s="21">
        <f t="shared" si="89"/>
        <v>77780.5</v>
      </c>
      <c r="BC123" s="21">
        <f t="shared" si="89"/>
        <v>67213.100000000006</v>
      </c>
      <c r="BD123" s="21">
        <f t="shared" si="89"/>
        <v>92731.8</v>
      </c>
      <c r="BE123" s="21">
        <f t="shared" si="89"/>
        <v>93753.443560000014</v>
      </c>
      <c r="BF123" s="21">
        <f t="shared" si="89"/>
        <v>132028.51546000002</v>
      </c>
      <c r="BG123" s="22">
        <f t="shared" si="51"/>
        <v>121.01019900788475</v>
      </c>
      <c r="BH123" s="21">
        <f t="shared" ref="BH123:BP123" si="90">+BH66+BH7</f>
        <v>65068.802009999999</v>
      </c>
      <c r="BI123" s="21">
        <f t="shared" si="90"/>
        <v>57541.602010000002</v>
      </c>
      <c r="BJ123" s="21">
        <f t="shared" si="90"/>
        <v>57565.702010000001</v>
      </c>
      <c r="BK123" s="23">
        <f t="shared" si="90"/>
        <v>67674.8</v>
      </c>
      <c r="BL123" s="24">
        <f t="shared" si="90"/>
        <v>87833.400000000009</v>
      </c>
      <c r="BM123" s="24">
        <f t="shared" si="90"/>
        <v>89109.3</v>
      </c>
      <c r="BN123" s="25">
        <f t="shared" si="90"/>
        <v>96070.1</v>
      </c>
      <c r="BO123" s="24">
        <f t="shared" si="90"/>
        <v>100420.1</v>
      </c>
      <c r="BP123" s="21">
        <f t="shared" si="90"/>
        <v>102296.70201000001</v>
      </c>
      <c r="BQ123" s="22">
        <f t="shared" si="66"/>
        <v>109.11247430024531</v>
      </c>
      <c r="BR123" s="21">
        <f>+BR66+BR7</f>
        <v>72244.902009999991</v>
      </c>
      <c r="BS123" s="22">
        <f t="shared" si="67"/>
        <v>70.622904346356833</v>
      </c>
      <c r="BT123" s="22">
        <f t="shared" si="68"/>
        <v>125.55246897270038</v>
      </c>
      <c r="BU123" s="21">
        <f>+BU66+BU7</f>
        <v>62124.102010000002</v>
      </c>
      <c r="BV123" s="22">
        <f t="shared" si="69"/>
        <v>85.990983836341712</v>
      </c>
      <c r="BW123" s="22">
        <f t="shared" si="70"/>
        <v>107.91860403128261</v>
      </c>
      <c r="BX123" s="21">
        <f>+BX66+BX7</f>
        <v>62199.602010000002</v>
      </c>
      <c r="BY123" s="22">
        <f t="shared" si="71"/>
        <v>100.12153093172735</v>
      </c>
    </row>
    <row r="124" spans="1:77" ht="32.25" hidden="1" customHeight="1" x14ac:dyDescent="0.25">
      <c r="A124" s="43" t="s">
        <v>263</v>
      </c>
      <c r="B124" s="21"/>
      <c r="C124" s="21">
        <f t="shared" ref="C124:BN124" si="91">C71/(C123-C86)*100</f>
        <v>45.157166905986209</v>
      </c>
      <c r="D124" s="21">
        <f t="shared" si="91"/>
        <v>65.248416779923957</v>
      </c>
      <c r="E124" s="21">
        <f t="shared" si="91"/>
        <v>51.342959910171146</v>
      </c>
      <c r="F124" s="21">
        <f t="shared" si="91"/>
        <v>54.826345240223972</v>
      </c>
      <c r="G124" s="21">
        <f t="shared" si="91"/>
        <v>55.228252756791662</v>
      </c>
      <c r="H124" s="21">
        <f t="shared" si="91"/>
        <v>50.852085938301684</v>
      </c>
      <c r="I124" s="21">
        <f t="shared" si="91"/>
        <v>51.651095349681682</v>
      </c>
      <c r="J124" s="21">
        <f t="shared" si="91"/>
        <v>59.066079999247869</v>
      </c>
      <c r="K124" s="21">
        <f t="shared" si="91"/>
        <v>60.251510664692468</v>
      </c>
      <c r="L124" s="21">
        <f t="shared" si="91"/>
        <v>60.983554032898645</v>
      </c>
      <c r="M124" s="21">
        <f t="shared" si="91"/>
        <v>19.366774422910954</v>
      </c>
      <c r="N124" s="21">
        <f t="shared" si="91"/>
        <v>58.48050066452759</v>
      </c>
      <c r="O124" s="21">
        <f t="shared" si="91"/>
        <v>44.30545778569838</v>
      </c>
      <c r="P124" s="21">
        <f t="shared" si="91"/>
        <v>45.506240858334181</v>
      </c>
      <c r="Q124" s="21">
        <f t="shared" si="91"/>
        <v>15.271251788740214</v>
      </c>
      <c r="R124" s="21">
        <f t="shared" si="91"/>
        <v>45.889361418625569</v>
      </c>
      <c r="S124" s="21">
        <f t="shared" si="91"/>
        <v>43.591670794827557</v>
      </c>
      <c r="T124" s="21">
        <f t="shared" si="91"/>
        <v>43.546125106230107</v>
      </c>
      <c r="U124" s="21">
        <f t="shared" si="91"/>
        <v>20.480992467232923</v>
      </c>
      <c r="V124" s="21">
        <f t="shared" si="91"/>
        <v>53.798658598648665</v>
      </c>
      <c r="W124" s="21">
        <f t="shared" si="91"/>
        <v>41.797726249586667</v>
      </c>
      <c r="X124" s="21">
        <f t="shared" si="91"/>
        <v>41.756013869902588</v>
      </c>
      <c r="Y124" s="21">
        <f t="shared" si="91"/>
        <v>14.65272371330675</v>
      </c>
      <c r="Z124" s="21">
        <f t="shared" si="91"/>
        <v>57.838402601848628</v>
      </c>
      <c r="AA124" s="21">
        <f t="shared" si="91"/>
        <v>54.992649179940436</v>
      </c>
      <c r="AB124" s="21">
        <f t="shared" si="91"/>
        <v>53.708283964642142</v>
      </c>
      <c r="AC124" s="21">
        <f t="shared" si="91"/>
        <v>13.514873730847629</v>
      </c>
      <c r="AD124" s="21">
        <f t="shared" si="91"/>
        <v>52.166716770495889</v>
      </c>
      <c r="AE124" s="21">
        <f t="shared" si="91"/>
        <v>43.260247099503623</v>
      </c>
      <c r="AF124" s="21">
        <f t="shared" si="91"/>
        <v>42.898429960861037</v>
      </c>
      <c r="AG124" s="21">
        <f t="shared" si="91"/>
        <v>29.535090041559169</v>
      </c>
      <c r="AH124" s="21">
        <f t="shared" si="91"/>
        <v>47.792818283124198</v>
      </c>
      <c r="AI124" s="21">
        <f t="shared" si="91"/>
        <v>48.338822615322442</v>
      </c>
      <c r="AJ124" s="21">
        <f t="shared" si="91"/>
        <v>48.270578501134324</v>
      </c>
      <c r="AK124" s="21">
        <f t="shared" si="91"/>
        <v>25.212435501750523</v>
      </c>
      <c r="AL124" s="21">
        <f t="shared" si="91"/>
        <v>25.193492141811035</v>
      </c>
      <c r="AM124" s="21">
        <f t="shared" si="91"/>
        <v>9.4619494863721254</v>
      </c>
      <c r="AN124" s="21">
        <f t="shared" si="91"/>
        <v>51.892410422106124</v>
      </c>
      <c r="AO124" s="21">
        <f t="shared" si="91"/>
        <v>51.886353649543416</v>
      </c>
      <c r="AP124" s="21">
        <f t="shared" si="91"/>
        <v>51.880298290683115</v>
      </c>
      <c r="AQ124" s="21">
        <f t="shared" si="91"/>
        <v>42.305929199389404</v>
      </c>
      <c r="AR124" s="21">
        <f t="shared" si="91"/>
        <v>42.587236365031835</v>
      </c>
      <c r="AS124" s="21">
        <f t="shared" si="91"/>
        <v>28.705710106992417</v>
      </c>
      <c r="AT124" s="21">
        <f t="shared" si="91"/>
        <v>27.324709850445615</v>
      </c>
      <c r="AU124" s="21">
        <f t="shared" si="91"/>
        <v>24.705728191192957</v>
      </c>
      <c r="AV124" s="21">
        <f t="shared" si="91"/>
        <v>24.312492425132483</v>
      </c>
      <c r="AW124" s="21">
        <f t="shared" si="91"/>
        <v>17.510398660201492</v>
      </c>
      <c r="AX124" s="21">
        <f t="shared" si="91"/>
        <v>29.144040186705507</v>
      </c>
      <c r="AY124" s="21">
        <f t="shared" si="91"/>
        <v>37.039898373600209</v>
      </c>
      <c r="AZ124" s="21">
        <f t="shared" si="91"/>
        <v>39.133102855522637</v>
      </c>
      <c r="BA124" s="21">
        <f t="shared" si="91"/>
        <v>27.114831973418273</v>
      </c>
      <c r="BB124" s="21">
        <f t="shared" si="91"/>
        <v>24.803971869380227</v>
      </c>
      <c r="BC124" s="21">
        <f t="shared" si="91"/>
        <v>28.762576979301414</v>
      </c>
      <c r="BD124" s="21">
        <f t="shared" si="91"/>
        <v>20.791322215319923</v>
      </c>
      <c r="BE124" s="21">
        <f t="shared" si="91"/>
        <v>20.563169878436668</v>
      </c>
      <c r="BF124" s="21">
        <f t="shared" si="91"/>
        <v>14.572275214476921</v>
      </c>
      <c r="BG124" s="21">
        <f t="shared" si="91"/>
        <v>365.11536611796214</v>
      </c>
      <c r="BH124" s="21">
        <f t="shared" si="91"/>
        <v>31.528978633764204</v>
      </c>
      <c r="BI124" s="21">
        <f t="shared" si="91"/>
        <v>35.495920564012366</v>
      </c>
      <c r="BJ124" s="21">
        <f t="shared" si="91"/>
        <v>36.081211599871217</v>
      </c>
      <c r="BK124" s="21">
        <f t="shared" si="91"/>
        <v>30.438121867691905</v>
      </c>
      <c r="BL124" s="21">
        <f t="shared" si="91"/>
        <v>23.374811654171712</v>
      </c>
      <c r="BM124" s="21">
        <f t="shared" si="91"/>
        <v>23.036227795418704</v>
      </c>
      <c r="BN124" s="21">
        <f t="shared" si="91"/>
        <v>21.349127940314649</v>
      </c>
      <c r="BO124" s="21">
        <f t="shared" ref="BO124:BP124" si="92">BO71/(BO123-BO86)*100</f>
        <v>20.414789059017998</v>
      </c>
      <c r="BP124" s="21">
        <f t="shared" si="92"/>
        <v>20.036396739926776</v>
      </c>
      <c r="BQ124" s="22">
        <f t="shared" si="66"/>
        <v>97.438268799878529</v>
      </c>
      <c r="BR124" s="21">
        <f>BR71/(BR123-BR86)*100</f>
        <v>23.041617932661097</v>
      </c>
      <c r="BS124" s="22">
        <f t="shared" si="67"/>
        <v>114.99881057328926</v>
      </c>
      <c r="BT124" s="22">
        <f t="shared" si="68"/>
        <v>64.913425448731431</v>
      </c>
      <c r="BU124" s="21">
        <f>BU71/(BU123-BU86)*100</f>
        <v>28.667915035632969</v>
      </c>
      <c r="BV124" s="22">
        <f t="shared" si="69"/>
        <v>124.41797758913748</v>
      </c>
      <c r="BW124" s="22">
        <f t="shared" si="70"/>
        <v>79.453859126325156</v>
      </c>
      <c r="BX124" s="21">
        <f>BX71/(BX123-BX86)*100</f>
        <v>31.468718946221021</v>
      </c>
      <c r="BY124" s="22">
        <f t="shared" si="71"/>
        <v>109.76982074596906</v>
      </c>
    </row>
    <row r="125" spans="1:77" ht="22.5" customHeight="1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5"/>
      <c r="BH125" s="44"/>
      <c r="BI125" s="44"/>
      <c r="BJ125" s="44"/>
      <c r="BK125" s="44"/>
      <c r="BL125" s="44"/>
      <c r="BM125" s="44"/>
      <c r="BN125" s="46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</row>
    <row r="126" spans="1:77" ht="22.5" customHeight="1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5"/>
      <c r="BH126" s="44"/>
      <c r="BI126" s="44"/>
      <c r="BJ126" s="44"/>
      <c r="BK126" s="44"/>
      <c r="BL126" s="44"/>
      <c r="BM126" s="44"/>
      <c r="BN126" s="46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</row>
    <row r="127" spans="1:77" ht="22.5" customHeight="1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5"/>
      <c r="BH127" s="44"/>
      <c r="BI127" s="44"/>
      <c r="BJ127" s="44"/>
      <c r="BK127" s="44"/>
      <c r="BL127" s="44"/>
      <c r="BM127" s="44"/>
      <c r="BN127" s="46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</row>
    <row r="128" spans="1:77" ht="22.5" customHeight="1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5"/>
      <c r="BH128" s="44"/>
      <c r="BI128" s="44"/>
      <c r="BJ128" s="44"/>
      <c r="BK128" s="44"/>
      <c r="BL128" s="44"/>
      <c r="BM128" s="44"/>
      <c r="BN128" s="46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</row>
    <row r="129" spans="1:77" ht="22.5" customHeight="1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5"/>
      <c r="BH129" s="44"/>
      <c r="BI129" s="44"/>
      <c r="BJ129" s="44"/>
      <c r="BK129" s="44"/>
      <c r="BL129" s="44"/>
      <c r="BM129" s="44"/>
      <c r="BN129" s="46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</row>
    <row r="130" spans="1:77" ht="22.5" customHeight="1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5"/>
      <c r="BH130" s="44"/>
      <c r="BI130" s="44"/>
      <c r="BJ130" s="44"/>
      <c r="BK130" s="44"/>
      <c r="BL130" s="44"/>
      <c r="BM130" s="44"/>
      <c r="BN130" s="46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</row>
    <row r="131" spans="1:77" ht="22.5" customHeight="1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5"/>
      <c r="BH131" s="44"/>
      <c r="BI131" s="44"/>
      <c r="BJ131" s="44"/>
      <c r="BK131" s="44"/>
      <c r="BL131" s="44"/>
      <c r="BM131" s="44"/>
      <c r="BN131" s="46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</row>
    <row r="132" spans="1:77" ht="22.5" customHeight="1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5"/>
      <c r="BH132" s="44"/>
      <c r="BI132" s="44"/>
      <c r="BJ132" s="44"/>
      <c r="BK132" s="44"/>
      <c r="BL132" s="44"/>
      <c r="BM132" s="44"/>
      <c r="BN132" s="46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</row>
  </sheetData>
  <mergeCells count="16">
    <mergeCell ref="BP5:BP6"/>
    <mergeCell ref="BQ5:BQ6"/>
    <mergeCell ref="BR5:BY5"/>
    <mergeCell ref="A123:B123"/>
    <mergeCell ref="BF5:BF6"/>
    <mergeCell ref="BG5:BG6"/>
    <mergeCell ref="BH5:BJ5"/>
    <mergeCell ref="BK5:BK6"/>
    <mergeCell ref="BL5:BL6"/>
    <mergeCell ref="BN5:BN6"/>
    <mergeCell ref="A5:A6"/>
    <mergeCell ref="B5:B6"/>
    <mergeCell ref="AL5:AL6"/>
    <mergeCell ref="AV5:AV6"/>
    <mergeCell ref="AX5:AZ5"/>
    <mergeCell ref="BE5:BE6"/>
  </mergeCells>
  <pageMargins left="0.78740157480314965" right="0" top="0.39370078740157483" bottom="0" header="0" footer="0"/>
  <pageSetup paperSize="9"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tabSelected="1" topLeftCell="A2" zoomScale="140" zoomScaleNormal="140" workbookViewId="0">
      <pane xSplit="3" ySplit="3" topLeftCell="AB29" activePane="bottomRight" state="frozen"/>
      <selection activeCell="A2" sqref="A2"/>
      <selection pane="topRight" activeCell="D2" sqref="D2"/>
      <selection pane="bottomLeft" activeCell="A5" sqref="A5"/>
      <selection pane="bottomRight" activeCell="A2" sqref="A2:AK47"/>
    </sheetView>
  </sheetViews>
  <sheetFormatPr defaultRowHeight="11.25" x14ac:dyDescent="0.2"/>
  <cols>
    <col min="1" max="1" width="32.42578125" style="64" customWidth="1"/>
    <col min="2" max="2" width="2.7109375" style="64" bestFit="1" customWidth="1"/>
    <col min="3" max="3" width="3" style="62" customWidth="1"/>
    <col min="4" max="4" width="8.140625" style="62" hidden="1" customWidth="1"/>
    <col min="5" max="5" width="7.5703125" style="62" hidden="1" customWidth="1"/>
    <col min="6" max="6" width="7.85546875" style="64" hidden="1" customWidth="1"/>
    <col min="7" max="7" width="7.5703125" style="63" hidden="1" customWidth="1"/>
    <col min="8" max="8" width="9.28515625" style="64" hidden="1" customWidth="1"/>
    <col min="9" max="9" width="8.85546875" style="64" hidden="1" customWidth="1"/>
    <col min="10" max="10" width="8.42578125" style="115" hidden="1" customWidth="1"/>
    <col min="11" max="11" width="8.28515625" style="61" hidden="1" customWidth="1"/>
    <col min="12" max="12" width="8.140625" style="62" hidden="1" customWidth="1"/>
    <col min="13" max="13" width="8.42578125" style="63" hidden="1" customWidth="1"/>
    <col min="14" max="14" width="7.5703125" style="64" customWidth="1"/>
    <col min="15" max="15" width="10.42578125" style="64" hidden="1" customWidth="1"/>
    <col min="16" max="18" width="7.7109375" style="64" hidden="1" customWidth="1"/>
    <col min="19" max="19" width="6.28515625" style="64" hidden="1" customWidth="1"/>
    <col min="20" max="20" width="6.85546875" style="64" hidden="1" customWidth="1"/>
    <col min="21" max="21" width="7.7109375" style="64" customWidth="1"/>
    <col min="22" max="22" width="8" style="64" customWidth="1"/>
    <col min="23" max="23" width="7.7109375" style="64" hidden="1" customWidth="1"/>
    <col min="24" max="24" width="7" style="64" hidden="1" customWidth="1"/>
    <col min="25" max="25" width="7.7109375" style="64" hidden="1" customWidth="1"/>
    <col min="26" max="26" width="8" style="64" customWidth="1"/>
    <col min="27" max="27" width="7.28515625" style="64" customWidth="1"/>
    <col min="28" max="28" width="7.42578125" style="64" customWidth="1"/>
    <col min="29" max="31" width="6.7109375" style="64" customWidth="1"/>
    <col min="32" max="32" width="6.85546875" style="64" customWidth="1"/>
    <col min="33" max="33" width="7" style="64" customWidth="1"/>
    <col min="34" max="34" width="8" style="64" customWidth="1"/>
    <col min="35" max="35" width="6.85546875" style="64" customWidth="1"/>
    <col min="36" max="36" width="6.7109375" style="64" customWidth="1"/>
    <col min="37" max="37" width="7.42578125" style="64" customWidth="1"/>
    <col min="38" max="81" width="9.140625" style="60"/>
    <col min="82" max="82" width="18.5703125" style="60" customWidth="1"/>
    <col min="83" max="83" width="3.5703125" style="60" customWidth="1"/>
    <col min="84" max="84" width="3" style="60" customWidth="1"/>
    <col min="85" max="85" width="8.140625" style="60" customWidth="1"/>
    <col min="86" max="91" width="0" style="60" hidden="1" customWidth="1"/>
    <col min="92" max="92" width="7.5703125" style="60" customWidth="1"/>
    <col min="93" max="113" width="0" style="60" hidden="1" customWidth="1"/>
    <col min="114" max="114" width="7.85546875" style="60" customWidth="1"/>
    <col min="115" max="131" width="0" style="60" hidden="1" customWidth="1"/>
    <col min="132" max="132" width="7.5703125" style="60" customWidth="1"/>
    <col min="133" max="152" width="0" style="60" hidden="1" customWidth="1"/>
    <col min="153" max="153" width="7.5703125" style="60" customWidth="1"/>
    <col min="154" max="172" width="0" style="60" hidden="1" customWidth="1"/>
    <col min="173" max="173" width="8.28515625" style="60" customWidth="1"/>
    <col min="174" max="184" width="0" style="60" hidden="1" customWidth="1"/>
    <col min="185" max="187" width="8.140625" style="60" customWidth="1"/>
    <col min="188" max="188" width="7.42578125" style="60" customWidth="1"/>
    <col min="189" max="189" width="5.7109375" style="60" customWidth="1"/>
    <col min="190" max="190" width="6.42578125" style="60" customWidth="1"/>
    <col min="191" max="191" width="5.7109375" style="60" customWidth="1"/>
    <col min="192" max="192" width="5.42578125" style="60" customWidth="1"/>
    <col min="193" max="193" width="5.28515625" style="60" customWidth="1"/>
    <col min="194" max="194" width="5.42578125" style="60" customWidth="1"/>
    <col min="195" max="195" width="5.28515625" style="60" customWidth="1"/>
    <col min="196" max="196" width="5.85546875" style="60" customWidth="1"/>
    <col min="197" max="197" width="6.140625" style="60" customWidth="1"/>
    <col min="198" max="337" width="9.140625" style="60"/>
    <col min="338" max="338" width="18.5703125" style="60" customWidth="1"/>
    <col min="339" max="339" width="3.5703125" style="60" customWidth="1"/>
    <col min="340" max="340" width="3" style="60" customWidth="1"/>
    <col min="341" max="341" width="8.140625" style="60" customWidth="1"/>
    <col min="342" max="347" width="0" style="60" hidden="1" customWidth="1"/>
    <col min="348" max="348" width="7.5703125" style="60" customWidth="1"/>
    <col min="349" max="369" width="0" style="60" hidden="1" customWidth="1"/>
    <col min="370" max="370" width="7.85546875" style="60" customWidth="1"/>
    <col min="371" max="387" width="0" style="60" hidden="1" customWidth="1"/>
    <col min="388" max="388" width="7.5703125" style="60" customWidth="1"/>
    <col min="389" max="408" width="0" style="60" hidden="1" customWidth="1"/>
    <col min="409" max="409" width="7.5703125" style="60" customWidth="1"/>
    <col min="410" max="428" width="0" style="60" hidden="1" customWidth="1"/>
    <col min="429" max="429" width="8.28515625" style="60" customWidth="1"/>
    <col min="430" max="440" width="0" style="60" hidden="1" customWidth="1"/>
    <col min="441" max="443" width="8.140625" style="60" customWidth="1"/>
    <col min="444" max="444" width="7.42578125" style="60" customWidth="1"/>
    <col min="445" max="445" width="5.7109375" style="60" customWidth="1"/>
    <col min="446" max="446" width="6.42578125" style="60" customWidth="1"/>
    <col min="447" max="447" width="5.7109375" style="60" customWidth="1"/>
    <col min="448" max="448" width="5.42578125" style="60" customWidth="1"/>
    <col min="449" max="449" width="5.28515625" style="60" customWidth="1"/>
    <col min="450" max="450" width="5.42578125" style="60" customWidth="1"/>
    <col min="451" max="451" width="5.28515625" style="60" customWidth="1"/>
    <col min="452" max="452" width="5.85546875" style="60" customWidth="1"/>
    <col min="453" max="453" width="6.140625" style="60" customWidth="1"/>
    <col min="454" max="593" width="9.140625" style="60"/>
    <col min="594" max="594" width="18.5703125" style="60" customWidth="1"/>
    <col min="595" max="595" width="3.5703125" style="60" customWidth="1"/>
    <col min="596" max="596" width="3" style="60" customWidth="1"/>
    <col min="597" max="597" width="8.140625" style="60" customWidth="1"/>
    <col min="598" max="603" width="0" style="60" hidden="1" customWidth="1"/>
    <col min="604" max="604" width="7.5703125" style="60" customWidth="1"/>
    <col min="605" max="625" width="0" style="60" hidden="1" customWidth="1"/>
    <col min="626" max="626" width="7.85546875" style="60" customWidth="1"/>
    <col min="627" max="643" width="0" style="60" hidden="1" customWidth="1"/>
    <col min="644" max="644" width="7.5703125" style="60" customWidth="1"/>
    <col min="645" max="664" width="0" style="60" hidden="1" customWidth="1"/>
    <col min="665" max="665" width="7.5703125" style="60" customWidth="1"/>
    <col min="666" max="684" width="0" style="60" hidden="1" customWidth="1"/>
    <col min="685" max="685" width="8.28515625" style="60" customWidth="1"/>
    <col min="686" max="696" width="0" style="60" hidden="1" customWidth="1"/>
    <col min="697" max="699" width="8.140625" style="60" customWidth="1"/>
    <col min="700" max="700" width="7.42578125" style="60" customWidth="1"/>
    <col min="701" max="701" width="5.7109375" style="60" customWidth="1"/>
    <col min="702" max="702" width="6.42578125" style="60" customWidth="1"/>
    <col min="703" max="703" width="5.7109375" style="60" customWidth="1"/>
    <col min="704" max="704" width="5.42578125" style="60" customWidth="1"/>
    <col min="705" max="705" width="5.28515625" style="60" customWidth="1"/>
    <col min="706" max="706" width="5.42578125" style="60" customWidth="1"/>
    <col min="707" max="707" width="5.28515625" style="60" customWidth="1"/>
    <col min="708" max="708" width="5.85546875" style="60" customWidth="1"/>
    <col min="709" max="709" width="6.140625" style="60" customWidth="1"/>
    <col min="710" max="849" width="9.140625" style="60"/>
    <col min="850" max="850" width="18.5703125" style="60" customWidth="1"/>
    <col min="851" max="851" width="3.5703125" style="60" customWidth="1"/>
    <col min="852" max="852" width="3" style="60" customWidth="1"/>
    <col min="853" max="853" width="8.140625" style="60" customWidth="1"/>
    <col min="854" max="859" width="0" style="60" hidden="1" customWidth="1"/>
    <col min="860" max="860" width="7.5703125" style="60" customWidth="1"/>
    <col min="861" max="881" width="0" style="60" hidden="1" customWidth="1"/>
    <col min="882" max="882" width="7.85546875" style="60" customWidth="1"/>
    <col min="883" max="899" width="0" style="60" hidden="1" customWidth="1"/>
    <col min="900" max="900" width="7.5703125" style="60" customWidth="1"/>
    <col min="901" max="920" width="0" style="60" hidden="1" customWidth="1"/>
    <col min="921" max="921" width="7.5703125" style="60" customWidth="1"/>
    <col min="922" max="940" width="0" style="60" hidden="1" customWidth="1"/>
    <col min="941" max="941" width="8.28515625" style="60" customWidth="1"/>
    <col min="942" max="952" width="0" style="60" hidden="1" customWidth="1"/>
    <col min="953" max="955" width="8.140625" style="60" customWidth="1"/>
    <col min="956" max="956" width="7.42578125" style="60" customWidth="1"/>
    <col min="957" max="957" width="5.7109375" style="60" customWidth="1"/>
    <col min="958" max="958" width="6.42578125" style="60" customWidth="1"/>
    <col min="959" max="959" width="5.7109375" style="60" customWidth="1"/>
    <col min="960" max="960" width="5.42578125" style="60" customWidth="1"/>
    <col min="961" max="961" width="5.28515625" style="60" customWidth="1"/>
    <col min="962" max="962" width="5.42578125" style="60" customWidth="1"/>
    <col min="963" max="963" width="5.28515625" style="60" customWidth="1"/>
    <col min="964" max="964" width="5.85546875" style="60" customWidth="1"/>
    <col min="965" max="965" width="6.140625" style="60" customWidth="1"/>
    <col min="966" max="1105" width="9.140625" style="60"/>
    <col min="1106" max="1106" width="18.5703125" style="60" customWidth="1"/>
    <col min="1107" max="1107" width="3.5703125" style="60" customWidth="1"/>
    <col min="1108" max="1108" width="3" style="60" customWidth="1"/>
    <col min="1109" max="1109" width="8.140625" style="60" customWidth="1"/>
    <col min="1110" max="1115" width="0" style="60" hidden="1" customWidth="1"/>
    <col min="1116" max="1116" width="7.5703125" style="60" customWidth="1"/>
    <col min="1117" max="1137" width="0" style="60" hidden="1" customWidth="1"/>
    <col min="1138" max="1138" width="7.85546875" style="60" customWidth="1"/>
    <col min="1139" max="1155" width="0" style="60" hidden="1" customWidth="1"/>
    <col min="1156" max="1156" width="7.5703125" style="60" customWidth="1"/>
    <col min="1157" max="1176" width="0" style="60" hidden="1" customWidth="1"/>
    <col min="1177" max="1177" width="7.5703125" style="60" customWidth="1"/>
    <col min="1178" max="1196" width="0" style="60" hidden="1" customWidth="1"/>
    <col min="1197" max="1197" width="8.28515625" style="60" customWidth="1"/>
    <col min="1198" max="1208" width="0" style="60" hidden="1" customWidth="1"/>
    <col min="1209" max="1211" width="8.140625" style="60" customWidth="1"/>
    <col min="1212" max="1212" width="7.42578125" style="60" customWidth="1"/>
    <col min="1213" max="1213" width="5.7109375" style="60" customWidth="1"/>
    <col min="1214" max="1214" width="6.42578125" style="60" customWidth="1"/>
    <col min="1215" max="1215" width="5.7109375" style="60" customWidth="1"/>
    <col min="1216" max="1216" width="5.42578125" style="60" customWidth="1"/>
    <col min="1217" max="1217" width="5.28515625" style="60" customWidth="1"/>
    <col min="1218" max="1218" width="5.42578125" style="60" customWidth="1"/>
    <col min="1219" max="1219" width="5.28515625" style="60" customWidth="1"/>
    <col min="1220" max="1220" width="5.85546875" style="60" customWidth="1"/>
    <col min="1221" max="1221" width="6.140625" style="60" customWidth="1"/>
    <col min="1222" max="1361" width="9.140625" style="60"/>
    <col min="1362" max="1362" width="18.5703125" style="60" customWidth="1"/>
    <col min="1363" max="1363" width="3.5703125" style="60" customWidth="1"/>
    <col min="1364" max="1364" width="3" style="60" customWidth="1"/>
    <col min="1365" max="1365" width="8.140625" style="60" customWidth="1"/>
    <col min="1366" max="1371" width="0" style="60" hidden="1" customWidth="1"/>
    <col min="1372" max="1372" width="7.5703125" style="60" customWidth="1"/>
    <col min="1373" max="1393" width="0" style="60" hidden="1" customWidth="1"/>
    <col min="1394" max="1394" width="7.85546875" style="60" customWidth="1"/>
    <col min="1395" max="1411" width="0" style="60" hidden="1" customWidth="1"/>
    <col min="1412" max="1412" width="7.5703125" style="60" customWidth="1"/>
    <col min="1413" max="1432" width="0" style="60" hidden="1" customWidth="1"/>
    <col min="1433" max="1433" width="7.5703125" style="60" customWidth="1"/>
    <col min="1434" max="1452" width="0" style="60" hidden="1" customWidth="1"/>
    <col min="1453" max="1453" width="8.28515625" style="60" customWidth="1"/>
    <col min="1454" max="1464" width="0" style="60" hidden="1" customWidth="1"/>
    <col min="1465" max="1467" width="8.140625" style="60" customWidth="1"/>
    <col min="1468" max="1468" width="7.42578125" style="60" customWidth="1"/>
    <col min="1469" max="1469" width="5.7109375" style="60" customWidth="1"/>
    <col min="1470" max="1470" width="6.42578125" style="60" customWidth="1"/>
    <col min="1471" max="1471" width="5.7109375" style="60" customWidth="1"/>
    <col min="1472" max="1472" width="5.42578125" style="60" customWidth="1"/>
    <col min="1473" max="1473" width="5.28515625" style="60" customWidth="1"/>
    <col min="1474" max="1474" width="5.42578125" style="60" customWidth="1"/>
    <col min="1475" max="1475" width="5.28515625" style="60" customWidth="1"/>
    <col min="1476" max="1476" width="5.85546875" style="60" customWidth="1"/>
    <col min="1477" max="1477" width="6.140625" style="60" customWidth="1"/>
    <col min="1478" max="1617" width="9.140625" style="60"/>
    <col min="1618" max="1618" width="18.5703125" style="60" customWidth="1"/>
    <col min="1619" max="1619" width="3.5703125" style="60" customWidth="1"/>
    <col min="1620" max="1620" width="3" style="60" customWidth="1"/>
    <col min="1621" max="1621" width="8.140625" style="60" customWidth="1"/>
    <col min="1622" max="1627" width="0" style="60" hidden="1" customWidth="1"/>
    <col min="1628" max="1628" width="7.5703125" style="60" customWidth="1"/>
    <col min="1629" max="1649" width="0" style="60" hidden="1" customWidth="1"/>
    <col min="1650" max="1650" width="7.85546875" style="60" customWidth="1"/>
    <col min="1651" max="1667" width="0" style="60" hidden="1" customWidth="1"/>
    <col min="1668" max="1668" width="7.5703125" style="60" customWidth="1"/>
    <col min="1669" max="1688" width="0" style="60" hidden="1" customWidth="1"/>
    <col min="1689" max="1689" width="7.5703125" style="60" customWidth="1"/>
    <col min="1690" max="1708" width="0" style="60" hidden="1" customWidth="1"/>
    <col min="1709" max="1709" width="8.28515625" style="60" customWidth="1"/>
    <col min="1710" max="1720" width="0" style="60" hidden="1" customWidth="1"/>
    <col min="1721" max="1723" width="8.140625" style="60" customWidth="1"/>
    <col min="1724" max="1724" width="7.42578125" style="60" customWidth="1"/>
    <col min="1725" max="1725" width="5.7109375" style="60" customWidth="1"/>
    <col min="1726" max="1726" width="6.42578125" style="60" customWidth="1"/>
    <col min="1727" max="1727" width="5.7109375" style="60" customWidth="1"/>
    <col min="1728" max="1728" width="5.42578125" style="60" customWidth="1"/>
    <col min="1729" max="1729" width="5.28515625" style="60" customWidth="1"/>
    <col min="1730" max="1730" width="5.42578125" style="60" customWidth="1"/>
    <col min="1731" max="1731" width="5.28515625" style="60" customWidth="1"/>
    <col min="1732" max="1732" width="5.85546875" style="60" customWidth="1"/>
    <col min="1733" max="1733" width="6.140625" style="60" customWidth="1"/>
    <col min="1734" max="1873" width="9.140625" style="60"/>
    <col min="1874" max="1874" width="18.5703125" style="60" customWidth="1"/>
    <col min="1875" max="1875" width="3.5703125" style="60" customWidth="1"/>
    <col min="1876" max="1876" width="3" style="60" customWidth="1"/>
    <col min="1877" max="1877" width="8.140625" style="60" customWidth="1"/>
    <col min="1878" max="1883" width="0" style="60" hidden="1" customWidth="1"/>
    <col min="1884" max="1884" width="7.5703125" style="60" customWidth="1"/>
    <col min="1885" max="1905" width="0" style="60" hidden="1" customWidth="1"/>
    <col min="1906" max="1906" width="7.85546875" style="60" customWidth="1"/>
    <col min="1907" max="1923" width="0" style="60" hidden="1" customWidth="1"/>
    <col min="1924" max="1924" width="7.5703125" style="60" customWidth="1"/>
    <col min="1925" max="1944" width="0" style="60" hidden="1" customWidth="1"/>
    <col min="1945" max="1945" width="7.5703125" style="60" customWidth="1"/>
    <col min="1946" max="1964" width="0" style="60" hidden="1" customWidth="1"/>
    <col min="1965" max="1965" width="8.28515625" style="60" customWidth="1"/>
    <col min="1966" max="1976" width="0" style="60" hidden="1" customWidth="1"/>
    <col min="1977" max="1979" width="8.140625" style="60" customWidth="1"/>
    <col min="1980" max="1980" width="7.42578125" style="60" customWidth="1"/>
    <col min="1981" max="1981" width="5.7109375" style="60" customWidth="1"/>
    <col min="1982" max="1982" width="6.42578125" style="60" customWidth="1"/>
    <col min="1983" max="1983" width="5.7109375" style="60" customWidth="1"/>
    <col min="1984" max="1984" width="5.42578125" style="60" customWidth="1"/>
    <col min="1985" max="1985" width="5.28515625" style="60" customWidth="1"/>
    <col min="1986" max="1986" width="5.42578125" style="60" customWidth="1"/>
    <col min="1987" max="1987" width="5.28515625" style="60" customWidth="1"/>
    <col min="1988" max="1988" width="5.85546875" style="60" customWidth="1"/>
    <col min="1989" max="1989" width="6.140625" style="60" customWidth="1"/>
    <col min="1990" max="2129" width="9.140625" style="60"/>
    <col min="2130" max="2130" width="18.5703125" style="60" customWidth="1"/>
    <col min="2131" max="2131" width="3.5703125" style="60" customWidth="1"/>
    <col min="2132" max="2132" width="3" style="60" customWidth="1"/>
    <col min="2133" max="2133" width="8.140625" style="60" customWidth="1"/>
    <col min="2134" max="2139" width="0" style="60" hidden="1" customWidth="1"/>
    <col min="2140" max="2140" width="7.5703125" style="60" customWidth="1"/>
    <col min="2141" max="2161" width="0" style="60" hidden="1" customWidth="1"/>
    <col min="2162" max="2162" width="7.85546875" style="60" customWidth="1"/>
    <col min="2163" max="2179" width="0" style="60" hidden="1" customWidth="1"/>
    <col min="2180" max="2180" width="7.5703125" style="60" customWidth="1"/>
    <col min="2181" max="2200" width="0" style="60" hidden="1" customWidth="1"/>
    <col min="2201" max="2201" width="7.5703125" style="60" customWidth="1"/>
    <col min="2202" max="2220" width="0" style="60" hidden="1" customWidth="1"/>
    <col min="2221" max="2221" width="8.28515625" style="60" customWidth="1"/>
    <col min="2222" max="2232" width="0" style="60" hidden="1" customWidth="1"/>
    <col min="2233" max="2235" width="8.140625" style="60" customWidth="1"/>
    <col min="2236" max="2236" width="7.42578125" style="60" customWidth="1"/>
    <col min="2237" max="2237" width="5.7109375" style="60" customWidth="1"/>
    <col min="2238" max="2238" width="6.42578125" style="60" customWidth="1"/>
    <col min="2239" max="2239" width="5.7109375" style="60" customWidth="1"/>
    <col min="2240" max="2240" width="5.42578125" style="60" customWidth="1"/>
    <col min="2241" max="2241" width="5.28515625" style="60" customWidth="1"/>
    <col min="2242" max="2242" width="5.42578125" style="60" customWidth="1"/>
    <col min="2243" max="2243" width="5.28515625" style="60" customWidth="1"/>
    <col min="2244" max="2244" width="5.85546875" style="60" customWidth="1"/>
    <col min="2245" max="2245" width="6.140625" style="60" customWidth="1"/>
    <col min="2246" max="2385" width="9.140625" style="60"/>
    <col min="2386" max="2386" width="18.5703125" style="60" customWidth="1"/>
    <col min="2387" max="2387" width="3.5703125" style="60" customWidth="1"/>
    <col min="2388" max="2388" width="3" style="60" customWidth="1"/>
    <col min="2389" max="2389" width="8.140625" style="60" customWidth="1"/>
    <col min="2390" max="2395" width="0" style="60" hidden="1" customWidth="1"/>
    <col min="2396" max="2396" width="7.5703125" style="60" customWidth="1"/>
    <col min="2397" max="2417" width="0" style="60" hidden="1" customWidth="1"/>
    <col min="2418" max="2418" width="7.85546875" style="60" customWidth="1"/>
    <col min="2419" max="2435" width="0" style="60" hidden="1" customWidth="1"/>
    <col min="2436" max="2436" width="7.5703125" style="60" customWidth="1"/>
    <col min="2437" max="2456" width="0" style="60" hidden="1" customWidth="1"/>
    <col min="2457" max="2457" width="7.5703125" style="60" customWidth="1"/>
    <col min="2458" max="2476" width="0" style="60" hidden="1" customWidth="1"/>
    <col min="2477" max="2477" width="8.28515625" style="60" customWidth="1"/>
    <col min="2478" max="2488" width="0" style="60" hidden="1" customWidth="1"/>
    <col min="2489" max="2491" width="8.140625" style="60" customWidth="1"/>
    <col min="2492" max="2492" width="7.42578125" style="60" customWidth="1"/>
    <col min="2493" max="2493" width="5.7109375" style="60" customWidth="1"/>
    <col min="2494" max="2494" width="6.42578125" style="60" customWidth="1"/>
    <col min="2495" max="2495" width="5.7109375" style="60" customWidth="1"/>
    <col min="2496" max="2496" width="5.42578125" style="60" customWidth="1"/>
    <col min="2497" max="2497" width="5.28515625" style="60" customWidth="1"/>
    <col min="2498" max="2498" width="5.42578125" style="60" customWidth="1"/>
    <col min="2499" max="2499" width="5.28515625" style="60" customWidth="1"/>
    <col min="2500" max="2500" width="5.85546875" style="60" customWidth="1"/>
    <col min="2501" max="2501" width="6.140625" style="60" customWidth="1"/>
    <col min="2502" max="2641" width="9.140625" style="60"/>
    <col min="2642" max="2642" width="18.5703125" style="60" customWidth="1"/>
    <col min="2643" max="2643" width="3.5703125" style="60" customWidth="1"/>
    <col min="2644" max="2644" width="3" style="60" customWidth="1"/>
    <col min="2645" max="2645" width="8.140625" style="60" customWidth="1"/>
    <col min="2646" max="2651" width="0" style="60" hidden="1" customWidth="1"/>
    <col min="2652" max="2652" width="7.5703125" style="60" customWidth="1"/>
    <col min="2653" max="2673" width="0" style="60" hidden="1" customWidth="1"/>
    <col min="2674" max="2674" width="7.85546875" style="60" customWidth="1"/>
    <col min="2675" max="2691" width="0" style="60" hidden="1" customWidth="1"/>
    <col min="2692" max="2692" width="7.5703125" style="60" customWidth="1"/>
    <col min="2693" max="2712" width="0" style="60" hidden="1" customWidth="1"/>
    <col min="2713" max="2713" width="7.5703125" style="60" customWidth="1"/>
    <col min="2714" max="2732" width="0" style="60" hidden="1" customWidth="1"/>
    <col min="2733" max="2733" width="8.28515625" style="60" customWidth="1"/>
    <col min="2734" max="2744" width="0" style="60" hidden="1" customWidth="1"/>
    <col min="2745" max="2747" width="8.140625" style="60" customWidth="1"/>
    <col min="2748" max="2748" width="7.42578125" style="60" customWidth="1"/>
    <col min="2749" max="2749" width="5.7109375" style="60" customWidth="1"/>
    <col min="2750" max="2750" width="6.42578125" style="60" customWidth="1"/>
    <col min="2751" max="2751" width="5.7109375" style="60" customWidth="1"/>
    <col min="2752" max="2752" width="5.42578125" style="60" customWidth="1"/>
    <col min="2753" max="2753" width="5.28515625" style="60" customWidth="1"/>
    <col min="2754" max="2754" width="5.42578125" style="60" customWidth="1"/>
    <col min="2755" max="2755" width="5.28515625" style="60" customWidth="1"/>
    <col min="2756" max="2756" width="5.85546875" style="60" customWidth="1"/>
    <col min="2757" max="2757" width="6.140625" style="60" customWidth="1"/>
    <col min="2758" max="2897" width="9.140625" style="60"/>
    <col min="2898" max="2898" width="18.5703125" style="60" customWidth="1"/>
    <col min="2899" max="2899" width="3.5703125" style="60" customWidth="1"/>
    <col min="2900" max="2900" width="3" style="60" customWidth="1"/>
    <col min="2901" max="2901" width="8.140625" style="60" customWidth="1"/>
    <col min="2902" max="2907" width="0" style="60" hidden="1" customWidth="1"/>
    <col min="2908" max="2908" width="7.5703125" style="60" customWidth="1"/>
    <col min="2909" max="2929" width="0" style="60" hidden="1" customWidth="1"/>
    <col min="2930" max="2930" width="7.85546875" style="60" customWidth="1"/>
    <col min="2931" max="2947" width="0" style="60" hidden="1" customWidth="1"/>
    <col min="2948" max="2948" width="7.5703125" style="60" customWidth="1"/>
    <col min="2949" max="2968" width="0" style="60" hidden="1" customWidth="1"/>
    <col min="2969" max="2969" width="7.5703125" style="60" customWidth="1"/>
    <col min="2970" max="2988" width="0" style="60" hidden="1" customWidth="1"/>
    <col min="2989" max="2989" width="8.28515625" style="60" customWidth="1"/>
    <col min="2990" max="3000" width="0" style="60" hidden="1" customWidth="1"/>
    <col min="3001" max="3003" width="8.140625" style="60" customWidth="1"/>
    <col min="3004" max="3004" width="7.42578125" style="60" customWidth="1"/>
    <col min="3005" max="3005" width="5.7109375" style="60" customWidth="1"/>
    <col min="3006" max="3006" width="6.42578125" style="60" customWidth="1"/>
    <col min="3007" max="3007" width="5.7109375" style="60" customWidth="1"/>
    <col min="3008" max="3008" width="5.42578125" style="60" customWidth="1"/>
    <col min="3009" max="3009" width="5.28515625" style="60" customWidth="1"/>
    <col min="3010" max="3010" width="5.42578125" style="60" customWidth="1"/>
    <col min="3011" max="3011" width="5.28515625" style="60" customWidth="1"/>
    <col min="3012" max="3012" width="5.85546875" style="60" customWidth="1"/>
    <col min="3013" max="3013" width="6.140625" style="60" customWidth="1"/>
    <col min="3014" max="3153" width="9.140625" style="60"/>
    <col min="3154" max="3154" width="18.5703125" style="60" customWidth="1"/>
    <col min="3155" max="3155" width="3.5703125" style="60" customWidth="1"/>
    <col min="3156" max="3156" width="3" style="60" customWidth="1"/>
    <col min="3157" max="3157" width="8.140625" style="60" customWidth="1"/>
    <col min="3158" max="3163" width="0" style="60" hidden="1" customWidth="1"/>
    <col min="3164" max="3164" width="7.5703125" style="60" customWidth="1"/>
    <col min="3165" max="3185" width="0" style="60" hidden="1" customWidth="1"/>
    <col min="3186" max="3186" width="7.85546875" style="60" customWidth="1"/>
    <col min="3187" max="3203" width="0" style="60" hidden="1" customWidth="1"/>
    <col min="3204" max="3204" width="7.5703125" style="60" customWidth="1"/>
    <col min="3205" max="3224" width="0" style="60" hidden="1" customWidth="1"/>
    <col min="3225" max="3225" width="7.5703125" style="60" customWidth="1"/>
    <col min="3226" max="3244" width="0" style="60" hidden="1" customWidth="1"/>
    <col min="3245" max="3245" width="8.28515625" style="60" customWidth="1"/>
    <col min="3246" max="3256" width="0" style="60" hidden="1" customWidth="1"/>
    <col min="3257" max="3259" width="8.140625" style="60" customWidth="1"/>
    <col min="3260" max="3260" width="7.42578125" style="60" customWidth="1"/>
    <col min="3261" max="3261" width="5.7109375" style="60" customWidth="1"/>
    <col min="3262" max="3262" width="6.42578125" style="60" customWidth="1"/>
    <col min="3263" max="3263" width="5.7109375" style="60" customWidth="1"/>
    <col min="3264" max="3264" width="5.42578125" style="60" customWidth="1"/>
    <col min="3265" max="3265" width="5.28515625" style="60" customWidth="1"/>
    <col min="3266" max="3266" width="5.42578125" style="60" customWidth="1"/>
    <col min="3267" max="3267" width="5.28515625" style="60" customWidth="1"/>
    <col min="3268" max="3268" width="5.85546875" style="60" customWidth="1"/>
    <col min="3269" max="3269" width="6.140625" style="60" customWidth="1"/>
    <col min="3270" max="3409" width="9.140625" style="60"/>
    <col min="3410" max="3410" width="18.5703125" style="60" customWidth="1"/>
    <col min="3411" max="3411" width="3.5703125" style="60" customWidth="1"/>
    <col min="3412" max="3412" width="3" style="60" customWidth="1"/>
    <col min="3413" max="3413" width="8.140625" style="60" customWidth="1"/>
    <col min="3414" max="3419" width="0" style="60" hidden="1" customWidth="1"/>
    <col min="3420" max="3420" width="7.5703125" style="60" customWidth="1"/>
    <col min="3421" max="3441" width="0" style="60" hidden="1" customWidth="1"/>
    <col min="3442" max="3442" width="7.85546875" style="60" customWidth="1"/>
    <col min="3443" max="3459" width="0" style="60" hidden="1" customWidth="1"/>
    <col min="3460" max="3460" width="7.5703125" style="60" customWidth="1"/>
    <col min="3461" max="3480" width="0" style="60" hidden="1" customWidth="1"/>
    <col min="3481" max="3481" width="7.5703125" style="60" customWidth="1"/>
    <col min="3482" max="3500" width="0" style="60" hidden="1" customWidth="1"/>
    <col min="3501" max="3501" width="8.28515625" style="60" customWidth="1"/>
    <col min="3502" max="3512" width="0" style="60" hidden="1" customWidth="1"/>
    <col min="3513" max="3515" width="8.140625" style="60" customWidth="1"/>
    <col min="3516" max="3516" width="7.42578125" style="60" customWidth="1"/>
    <col min="3517" max="3517" width="5.7109375" style="60" customWidth="1"/>
    <col min="3518" max="3518" width="6.42578125" style="60" customWidth="1"/>
    <col min="3519" max="3519" width="5.7109375" style="60" customWidth="1"/>
    <col min="3520" max="3520" width="5.42578125" style="60" customWidth="1"/>
    <col min="3521" max="3521" width="5.28515625" style="60" customWidth="1"/>
    <col min="3522" max="3522" width="5.42578125" style="60" customWidth="1"/>
    <col min="3523" max="3523" width="5.28515625" style="60" customWidth="1"/>
    <col min="3524" max="3524" width="5.85546875" style="60" customWidth="1"/>
    <col min="3525" max="3525" width="6.140625" style="60" customWidth="1"/>
    <col min="3526" max="3665" width="9.140625" style="60"/>
    <col min="3666" max="3666" width="18.5703125" style="60" customWidth="1"/>
    <col min="3667" max="3667" width="3.5703125" style="60" customWidth="1"/>
    <col min="3668" max="3668" width="3" style="60" customWidth="1"/>
    <col min="3669" max="3669" width="8.140625" style="60" customWidth="1"/>
    <col min="3670" max="3675" width="0" style="60" hidden="1" customWidth="1"/>
    <col min="3676" max="3676" width="7.5703125" style="60" customWidth="1"/>
    <col min="3677" max="3697" width="0" style="60" hidden="1" customWidth="1"/>
    <col min="3698" max="3698" width="7.85546875" style="60" customWidth="1"/>
    <col min="3699" max="3715" width="0" style="60" hidden="1" customWidth="1"/>
    <col min="3716" max="3716" width="7.5703125" style="60" customWidth="1"/>
    <col min="3717" max="3736" width="0" style="60" hidden="1" customWidth="1"/>
    <col min="3737" max="3737" width="7.5703125" style="60" customWidth="1"/>
    <col min="3738" max="3756" width="0" style="60" hidden="1" customWidth="1"/>
    <col min="3757" max="3757" width="8.28515625" style="60" customWidth="1"/>
    <col min="3758" max="3768" width="0" style="60" hidden="1" customWidth="1"/>
    <col min="3769" max="3771" width="8.140625" style="60" customWidth="1"/>
    <col min="3772" max="3772" width="7.42578125" style="60" customWidth="1"/>
    <col min="3773" max="3773" width="5.7109375" style="60" customWidth="1"/>
    <col min="3774" max="3774" width="6.42578125" style="60" customWidth="1"/>
    <col min="3775" max="3775" width="5.7109375" style="60" customWidth="1"/>
    <col min="3776" max="3776" width="5.42578125" style="60" customWidth="1"/>
    <col min="3777" max="3777" width="5.28515625" style="60" customWidth="1"/>
    <col min="3778" max="3778" width="5.42578125" style="60" customWidth="1"/>
    <col min="3779" max="3779" width="5.28515625" style="60" customWidth="1"/>
    <col min="3780" max="3780" width="5.85546875" style="60" customWidth="1"/>
    <col min="3781" max="3781" width="6.140625" style="60" customWidth="1"/>
    <col min="3782" max="3921" width="9.140625" style="60"/>
    <col min="3922" max="3922" width="18.5703125" style="60" customWidth="1"/>
    <col min="3923" max="3923" width="3.5703125" style="60" customWidth="1"/>
    <col min="3924" max="3924" width="3" style="60" customWidth="1"/>
    <col min="3925" max="3925" width="8.140625" style="60" customWidth="1"/>
    <col min="3926" max="3931" width="0" style="60" hidden="1" customWidth="1"/>
    <col min="3932" max="3932" width="7.5703125" style="60" customWidth="1"/>
    <col min="3933" max="3953" width="0" style="60" hidden="1" customWidth="1"/>
    <col min="3954" max="3954" width="7.85546875" style="60" customWidth="1"/>
    <col min="3955" max="3971" width="0" style="60" hidden="1" customWidth="1"/>
    <col min="3972" max="3972" width="7.5703125" style="60" customWidth="1"/>
    <col min="3973" max="3992" width="0" style="60" hidden="1" customWidth="1"/>
    <col min="3993" max="3993" width="7.5703125" style="60" customWidth="1"/>
    <col min="3994" max="4012" width="0" style="60" hidden="1" customWidth="1"/>
    <col min="4013" max="4013" width="8.28515625" style="60" customWidth="1"/>
    <col min="4014" max="4024" width="0" style="60" hidden="1" customWidth="1"/>
    <col min="4025" max="4027" width="8.140625" style="60" customWidth="1"/>
    <col min="4028" max="4028" width="7.42578125" style="60" customWidth="1"/>
    <col min="4029" max="4029" width="5.7109375" style="60" customWidth="1"/>
    <col min="4030" max="4030" width="6.42578125" style="60" customWidth="1"/>
    <col min="4031" max="4031" width="5.7109375" style="60" customWidth="1"/>
    <col min="4032" max="4032" width="5.42578125" style="60" customWidth="1"/>
    <col min="4033" max="4033" width="5.28515625" style="60" customWidth="1"/>
    <col min="4034" max="4034" width="5.42578125" style="60" customWidth="1"/>
    <col min="4035" max="4035" width="5.28515625" style="60" customWidth="1"/>
    <col min="4036" max="4036" width="5.85546875" style="60" customWidth="1"/>
    <col min="4037" max="4037" width="6.140625" style="60" customWidth="1"/>
    <col min="4038" max="4177" width="9.140625" style="60"/>
    <col min="4178" max="4178" width="18.5703125" style="60" customWidth="1"/>
    <col min="4179" max="4179" width="3.5703125" style="60" customWidth="1"/>
    <col min="4180" max="4180" width="3" style="60" customWidth="1"/>
    <col min="4181" max="4181" width="8.140625" style="60" customWidth="1"/>
    <col min="4182" max="4187" width="0" style="60" hidden="1" customWidth="1"/>
    <col min="4188" max="4188" width="7.5703125" style="60" customWidth="1"/>
    <col min="4189" max="4209" width="0" style="60" hidden="1" customWidth="1"/>
    <col min="4210" max="4210" width="7.85546875" style="60" customWidth="1"/>
    <col min="4211" max="4227" width="0" style="60" hidden="1" customWidth="1"/>
    <col min="4228" max="4228" width="7.5703125" style="60" customWidth="1"/>
    <col min="4229" max="4248" width="0" style="60" hidden="1" customWidth="1"/>
    <col min="4249" max="4249" width="7.5703125" style="60" customWidth="1"/>
    <col min="4250" max="4268" width="0" style="60" hidden="1" customWidth="1"/>
    <col min="4269" max="4269" width="8.28515625" style="60" customWidth="1"/>
    <col min="4270" max="4280" width="0" style="60" hidden="1" customWidth="1"/>
    <col min="4281" max="4283" width="8.140625" style="60" customWidth="1"/>
    <col min="4284" max="4284" width="7.42578125" style="60" customWidth="1"/>
    <col min="4285" max="4285" width="5.7109375" style="60" customWidth="1"/>
    <col min="4286" max="4286" width="6.42578125" style="60" customWidth="1"/>
    <col min="4287" max="4287" width="5.7109375" style="60" customWidth="1"/>
    <col min="4288" max="4288" width="5.42578125" style="60" customWidth="1"/>
    <col min="4289" max="4289" width="5.28515625" style="60" customWidth="1"/>
    <col min="4290" max="4290" width="5.42578125" style="60" customWidth="1"/>
    <col min="4291" max="4291" width="5.28515625" style="60" customWidth="1"/>
    <col min="4292" max="4292" width="5.85546875" style="60" customWidth="1"/>
    <col min="4293" max="4293" width="6.140625" style="60" customWidth="1"/>
    <col min="4294" max="4433" width="9.140625" style="60"/>
    <col min="4434" max="4434" width="18.5703125" style="60" customWidth="1"/>
    <col min="4435" max="4435" width="3.5703125" style="60" customWidth="1"/>
    <col min="4436" max="4436" width="3" style="60" customWidth="1"/>
    <col min="4437" max="4437" width="8.140625" style="60" customWidth="1"/>
    <col min="4438" max="4443" width="0" style="60" hidden="1" customWidth="1"/>
    <col min="4444" max="4444" width="7.5703125" style="60" customWidth="1"/>
    <col min="4445" max="4465" width="0" style="60" hidden="1" customWidth="1"/>
    <col min="4466" max="4466" width="7.85546875" style="60" customWidth="1"/>
    <col min="4467" max="4483" width="0" style="60" hidden="1" customWidth="1"/>
    <col min="4484" max="4484" width="7.5703125" style="60" customWidth="1"/>
    <col min="4485" max="4504" width="0" style="60" hidden="1" customWidth="1"/>
    <col min="4505" max="4505" width="7.5703125" style="60" customWidth="1"/>
    <col min="4506" max="4524" width="0" style="60" hidden="1" customWidth="1"/>
    <col min="4525" max="4525" width="8.28515625" style="60" customWidth="1"/>
    <col min="4526" max="4536" width="0" style="60" hidden="1" customWidth="1"/>
    <col min="4537" max="4539" width="8.140625" style="60" customWidth="1"/>
    <col min="4540" max="4540" width="7.42578125" style="60" customWidth="1"/>
    <col min="4541" max="4541" width="5.7109375" style="60" customWidth="1"/>
    <col min="4542" max="4542" width="6.42578125" style="60" customWidth="1"/>
    <col min="4543" max="4543" width="5.7109375" style="60" customWidth="1"/>
    <col min="4544" max="4544" width="5.42578125" style="60" customWidth="1"/>
    <col min="4545" max="4545" width="5.28515625" style="60" customWidth="1"/>
    <col min="4546" max="4546" width="5.42578125" style="60" customWidth="1"/>
    <col min="4547" max="4547" width="5.28515625" style="60" customWidth="1"/>
    <col min="4548" max="4548" width="5.85546875" style="60" customWidth="1"/>
    <col min="4549" max="4549" width="6.140625" style="60" customWidth="1"/>
    <col min="4550" max="4689" width="9.140625" style="60"/>
    <col min="4690" max="4690" width="18.5703125" style="60" customWidth="1"/>
    <col min="4691" max="4691" width="3.5703125" style="60" customWidth="1"/>
    <col min="4692" max="4692" width="3" style="60" customWidth="1"/>
    <col min="4693" max="4693" width="8.140625" style="60" customWidth="1"/>
    <col min="4694" max="4699" width="0" style="60" hidden="1" customWidth="1"/>
    <col min="4700" max="4700" width="7.5703125" style="60" customWidth="1"/>
    <col min="4701" max="4721" width="0" style="60" hidden="1" customWidth="1"/>
    <col min="4722" max="4722" width="7.85546875" style="60" customWidth="1"/>
    <col min="4723" max="4739" width="0" style="60" hidden="1" customWidth="1"/>
    <col min="4740" max="4740" width="7.5703125" style="60" customWidth="1"/>
    <col min="4741" max="4760" width="0" style="60" hidden="1" customWidth="1"/>
    <col min="4761" max="4761" width="7.5703125" style="60" customWidth="1"/>
    <col min="4762" max="4780" width="0" style="60" hidden="1" customWidth="1"/>
    <col min="4781" max="4781" width="8.28515625" style="60" customWidth="1"/>
    <col min="4782" max="4792" width="0" style="60" hidden="1" customWidth="1"/>
    <col min="4793" max="4795" width="8.140625" style="60" customWidth="1"/>
    <col min="4796" max="4796" width="7.42578125" style="60" customWidth="1"/>
    <col min="4797" max="4797" width="5.7109375" style="60" customWidth="1"/>
    <col min="4798" max="4798" width="6.42578125" style="60" customWidth="1"/>
    <col min="4799" max="4799" width="5.7109375" style="60" customWidth="1"/>
    <col min="4800" max="4800" width="5.42578125" style="60" customWidth="1"/>
    <col min="4801" max="4801" width="5.28515625" style="60" customWidth="1"/>
    <col min="4802" max="4802" width="5.42578125" style="60" customWidth="1"/>
    <col min="4803" max="4803" width="5.28515625" style="60" customWidth="1"/>
    <col min="4804" max="4804" width="5.85546875" style="60" customWidth="1"/>
    <col min="4805" max="4805" width="6.140625" style="60" customWidth="1"/>
    <col min="4806" max="4945" width="9.140625" style="60"/>
    <col min="4946" max="4946" width="18.5703125" style="60" customWidth="1"/>
    <col min="4947" max="4947" width="3.5703125" style="60" customWidth="1"/>
    <col min="4948" max="4948" width="3" style="60" customWidth="1"/>
    <col min="4949" max="4949" width="8.140625" style="60" customWidth="1"/>
    <col min="4950" max="4955" width="0" style="60" hidden="1" customWidth="1"/>
    <col min="4956" max="4956" width="7.5703125" style="60" customWidth="1"/>
    <col min="4957" max="4977" width="0" style="60" hidden="1" customWidth="1"/>
    <col min="4978" max="4978" width="7.85546875" style="60" customWidth="1"/>
    <col min="4979" max="4995" width="0" style="60" hidden="1" customWidth="1"/>
    <col min="4996" max="4996" width="7.5703125" style="60" customWidth="1"/>
    <col min="4997" max="5016" width="0" style="60" hidden="1" customWidth="1"/>
    <col min="5017" max="5017" width="7.5703125" style="60" customWidth="1"/>
    <col min="5018" max="5036" width="0" style="60" hidden="1" customWidth="1"/>
    <col min="5037" max="5037" width="8.28515625" style="60" customWidth="1"/>
    <col min="5038" max="5048" width="0" style="60" hidden="1" customWidth="1"/>
    <col min="5049" max="5051" width="8.140625" style="60" customWidth="1"/>
    <col min="5052" max="5052" width="7.42578125" style="60" customWidth="1"/>
    <col min="5053" max="5053" width="5.7109375" style="60" customWidth="1"/>
    <col min="5054" max="5054" width="6.42578125" style="60" customWidth="1"/>
    <col min="5055" max="5055" width="5.7109375" style="60" customWidth="1"/>
    <col min="5056" max="5056" width="5.42578125" style="60" customWidth="1"/>
    <col min="5057" max="5057" width="5.28515625" style="60" customWidth="1"/>
    <col min="5058" max="5058" width="5.42578125" style="60" customWidth="1"/>
    <col min="5059" max="5059" width="5.28515625" style="60" customWidth="1"/>
    <col min="5060" max="5060" width="5.85546875" style="60" customWidth="1"/>
    <col min="5061" max="5061" width="6.140625" style="60" customWidth="1"/>
    <col min="5062" max="5201" width="9.140625" style="60"/>
    <col min="5202" max="5202" width="18.5703125" style="60" customWidth="1"/>
    <col min="5203" max="5203" width="3.5703125" style="60" customWidth="1"/>
    <col min="5204" max="5204" width="3" style="60" customWidth="1"/>
    <col min="5205" max="5205" width="8.140625" style="60" customWidth="1"/>
    <col min="5206" max="5211" width="0" style="60" hidden="1" customWidth="1"/>
    <col min="5212" max="5212" width="7.5703125" style="60" customWidth="1"/>
    <col min="5213" max="5233" width="0" style="60" hidden="1" customWidth="1"/>
    <col min="5234" max="5234" width="7.85546875" style="60" customWidth="1"/>
    <col min="5235" max="5251" width="0" style="60" hidden="1" customWidth="1"/>
    <col min="5252" max="5252" width="7.5703125" style="60" customWidth="1"/>
    <col min="5253" max="5272" width="0" style="60" hidden="1" customWidth="1"/>
    <col min="5273" max="5273" width="7.5703125" style="60" customWidth="1"/>
    <col min="5274" max="5292" width="0" style="60" hidden="1" customWidth="1"/>
    <col min="5293" max="5293" width="8.28515625" style="60" customWidth="1"/>
    <col min="5294" max="5304" width="0" style="60" hidden="1" customWidth="1"/>
    <col min="5305" max="5307" width="8.140625" style="60" customWidth="1"/>
    <col min="5308" max="5308" width="7.42578125" style="60" customWidth="1"/>
    <col min="5309" max="5309" width="5.7109375" style="60" customWidth="1"/>
    <col min="5310" max="5310" width="6.42578125" style="60" customWidth="1"/>
    <col min="5311" max="5311" width="5.7109375" style="60" customWidth="1"/>
    <col min="5312" max="5312" width="5.42578125" style="60" customWidth="1"/>
    <col min="5313" max="5313" width="5.28515625" style="60" customWidth="1"/>
    <col min="5314" max="5314" width="5.42578125" style="60" customWidth="1"/>
    <col min="5315" max="5315" width="5.28515625" style="60" customWidth="1"/>
    <col min="5316" max="5316" width="5.85546875" style="60" customWidth="1"/>
    <col min="5317" max="5317" width="6.140625" style="60" customWidth="1"/>
    <col min="5318" max="5457" width="9.140625" style="60"/>
    <col min="5458" max="5458" width="18.5703125" style="60" customWidth="1"/>
    <col min="5459" max="5459" width="3.5703125" style="60" customWidth="1"/>
    <col min="5460" max="5460" width="3" style="60" customWidth="1"/>
    <col min="5461" max="5461" width="8.140625" style="60" customWidth="1"/>
    <col min="5462" max="5467" width="0" style="60" hidden="1" customWidth="1"/>
    <col min="5468" max="5468" width="7.5703125" style="60" customWidth="1"/>
    <col min="5469" max="5489" width="0" style="60" hidden="1" customWidth="1"/>
    <col min="5490" max="5490" width="7.85546875" style="60" customWidth="1"/>
    <col min="5491" max="5507" width="0" style="60" hidden="1" customWidth="1"/>
    <col min="5508" max="5508" width="7.5703125" style="60" customWidth="1"/>
    <col min="5509" max="5528" width="0" style="60" hidden="1" customWidth="1"/>
    <col min="5529" max="5529" width="7.5703125" style="60" customWidth="1"/>
    <col min="5530" max="5548" width="0" style="60" hidden="1" customWidth="1"/>
    <col min="5549" max="5549" width="8.28515625" style="60" customWidth="1"/>
    <col min="5550" max="5560" width="0" style="60" hidden="1" customWidth="1"/>
    <col min="5561" max="5563" width="8.140625" style="60" customWidth="1"/>
    <col min="5564" max="5564" width="7.42578125" style="60" customWidth="1"/>
    <col min="5565" max="5565" width="5.7109375" style="60" customWidth="1"/>
    <col min="5566" max="5566" width="6.42578125" style="60" customWidth="1"/>
    <col min="5567" max="5567" width="5.7109375" style="60" customWidth="1"/>
    <col min="5568" max="5568" width="5.42578125" style="60" customWidth="1"/>
    <col min="5569" max="5569" width="5.28515625" style="60" customWidth="1"/>
    <col min="5570" max="5570" width="5.42578125" style="60" customWidth="1"/>
    <col min="5571" max="5571" width="5.28515625" style="60" customWidth="1"/>
    <col min="5572" max="5572" width="5.85546875" style="60" customWidth="1"/>
    <col min="5573" max="5573" width="6.140625" style="60" customWidth="1"/>
    <col min="5574" max="5713" width="9.140625" style="60"/>
    <col min="5714" max="5714" width="18.5703125" style="60" customWidth="1"/>
    <col min="5715" max="5715" width="3.5703125" style="60" customWidth="1"/>
    <col min="5716" max="5716" width="3" style="60" customWidth="1"/>
    <col min="5717" max="5717" width="8.140625" style="60" customWidth="1"/>
    <col min="5718" max="5723" width="0" style="60" hidden="1" customWidth="1"/>
    <col min="5724" max="5724" width="7.5703125" style="60" customWidth="1"/>
    <col min="5725" max="5745" width="0" style="60" hidden="1" customWidth="1"/>
    <col min="5746" max="5746" width="7.85546875" style="60" customWidth="1"/>
    <col min="5747" max="5763" width="0" style="60" hidden="1" customWidth="1"/>
    <col min="5764" max="5764" width="7.5703125" style="60" customWidth="1"/>
    <col min="5765" max="5784" width="0" style="60" hidden="1" customWidth="1"/>
    <col min="5785" max="5785" width="7.5703125" style="60" customWidth="1"/>
    <col min="5786" max="5804" width="0" style="60" hidden="1" customWidth="1"/>
    <col min="5805" max="5805" width="8.28515625" style="60" customWidth="1"/>
    <col min="5806" max="5816" width="0" style="60" hidden="1" customWidth="1"/>
    <col min="5817" max="5819" width="8.140625" style="60" customWidth="1"/>
    <col min="5820" max="5820" width="7.42578125" style="60" customWidth="1"/>
    <col min="5821" max="5821" width="5.7109375" style="60" customWidth="1"/>
    <col min="5822" max="5822" width="6.42578125" style="60" customWidth="1"/>
    <col min="5823" max="5823" width="5.7109375" style="60" customWidth="1"/>
    <col min="5824" max="5824" width="5.42578125" style="60" customWidth="1"/>
    <col min="5825" max="5825" width="5.28515625" style="60" customWidth="1"/>
    <col min="5826" max="5826" width="5.42578125" style="60" customWidth="1"/>
    <col min="5827" max="5827" width="5.28515625" style="60" customWidth="1"/>
    <col min="5828" max="5828" width="5.85546875" style="60" customWidth="1"/>
    <col min="5829" max="5829" width="6.140625" style="60" customWidth="1"/>
    <col min="5830" max="5969" width="9.140625" style="60"/>
    <col min="5970" max="5970" width="18.5703125" style="60" customWidth="1"/>
    <col min="5971" max="5971" width="3.5703125" style="60" customWidth="1"/>
    <col min="5972" max="5972" width="3" style="60" customWidth="1"/>
    <col min="5973" max="5973" width="8.140625" style="60" customWidth="1"/>
    <col min="5974" max="5979" width="0" style="60" hidden="1" customWidth="1"/>
    <col min="5980" max="5980" width="7.5703125" style="60" customWidth="1"/>
    <col min="5981" max="6001" width="0" style="60" hidden="1" customWidth="1"/>
    <col min="6002" max="6002" width="7.85546875" style="60" customWidth="1"/>
    <col min="6003" max="6019" width="0" style="60" hidden="1" customWidth="1"/>
    <col min="6020" max="6020" width="7.5703125" style="60" customWidth="1"/>
    <col min="6021" max="6040" width="0" style="60" hidden="1" customWidth="1"/>
    <col min="6041" max="6041" width="7.5703125" style="60" customWidth="1"/>
    <col min="6042" max="6060" width="0" style="60" hidden="1" customWidth="1"/>
    <col min="6061" max="6061" width="8.28515625" style="60" customWidth="1"/>
    <col min="6062" max="6072" width="0" style="60" hidden="1" customWidth="1"/>
    <col min="6073" max="6075" width="8.140625" style="60" customWidth="1"/>
    <col min="6076" max="6076" width="7.42578125" style="60" customWidth="1"/>
    <col min="6077" max="6077" width="5.7109375" style="60" customWidth="1"/>
    <col min="6078" max="6078" width="6.42578125" style="60" customWidth="1"/>
    <col min="6079" max="6079" width="5.7109375" style="60" customWidth="1"/>
    <col min="6080" max="6080" width="5.42578125" style="60" customWidth="1"/>
    <col min="6081" max="6081" width="5.28515625" style="60" customWidth="1"/>
    <col min="6082" max="6082" width="5.42578125" style="60" customWidth="1"/>
    <col min="6083" max="6083" width="5.28515625" style="60" customWidth="1"/>
    <col min="6084" max="6084" width="5.85546875" style="60" customWidth="1"/>
    <col min="6085" max="6085" width="6.140625" style="60" customWidth="1"/>
    <col min="6086" max="6225" width="9.140625" style="60"/>
    <col min="6226" max="6226" width="18.5703125" style="60" customWidth="1"/>
    <col min="6227" max="6227" width="3.5703125" style="60" customWidth="1"/>
    <col min="6228" max="6228" width="3" style="60" customWidth="1"/>
    <col min="6229" max="6229" width="8.140625" style="60" customWidth="1"/>
    <col min="6230" max="6235" width="0" style="60" hidden="1" customWidth="1"/>
    <col min="6236" max="6236" width="7.5703125" style="60" customWidth="1"/>
    <col min="6237" max="6257" width="0" style="60" hidden="1" customWidth="1"/>
    <col min="6258" max="6258" width="7.85546875" style="60" customWidth="1"/>
    <col min="6259" max="6275" width="0" style="60" hidden="1" customWidth="1"/>
    <col min="6276" max="6276" width="7.5703125" style="60" customWidth="1"/>
    <col min="6277" max="6296" width="0" style="60" hidden="1" customWidth="1"/>
    <col min="6297" max="6297" width="7.5703125" style="60" customWidth="1"/>
    <col min="6298" max="6316" width="0" style="60" hidden="1" customWidth="1"/>
    <col min="6317" max="6317" width="8.28515625" style="60" customWidth="1"/>
    <col min="6318" max="6328" width="0" style="60" hidden="1" customWidth="1"/>
    <col min="6329" max="6331" width="8.140625" style="60" customWidth="1"/>
    <col min="6332" max="6332" width="7.42578125" style="60" customWidth="1"/>
    <col min="6333" max="6333" width="5.7109375" style="60" customWidth="1"/>
    <col min="6334" max="6334" width="6.42578125" style="60" customWidth="1"/>
    <col min="6335" max="6335" width="5.7109375" style="60" customWidth="1"/>
    <col min="6336" max="6336" width="5.42578125" style="60" customWidth="1"/>
    <col min="6337" max="6337" width="5.28515625" style="60" customWidth="1"/>
    <col min="6338" max="6338" width="5.42578125" style="60" customWidth="1"/>
    <col min="6339" max="6339" width="5.28515625" style="60" customWidth="1"/>
    <col min="6340" max="6340" width="5.85546875" style="60" customWidth="1"/>
    <col min="6341" max="6341" width="6.140625" style="60" customWidth="1"/>
    <col min="6342" max="6481" width="9.140625" style="60"/>
    <col min="6482" max="6482" width="18.5703125" style="60" customWidth="1"/>
    <col min="6483" max="6483" width="3.5703125" style="60" customWidth="1"/>
    <col min="6484" max="6484" width="3" style="60" customWidth="1"/>
    <col min="6485" max="6485" width="8.140625" style="60" customWidth="1"/>
    <col min="6486" max="6491" width="0" style="60" hidden="1" customWidth="1"/>
    <col min="6492" max="6492" width="7.5703125" style="60" customWidth="1"/>
    <col min="6493" max="6513" width="0" style="60" hidden="1" customWidth="1"/>
    <col min="6514" max="6514" width="7.85546875" style="60" customWidth="1"/>
    <col min="6515" max="6531" width="0" style="60" hidden="1" customWidth="1"/>
    <col min="6532" max="6532" width="7.5703125" style="60" customWidth="1"/>
    <col min="6533" max="6552" width="0" style="60" hidden="1" customWidth="1"/>
    <col min="6553" max="6553" width="7.5703125" style="60" customWidth="1"/>
    <col min="6554" max="6572" width="0" style="60" hidden="1" customWidth="1"/>
    <col min="6573" max="6573" width="8.28515625" style="60" customWidth="1"/>
    <col min="6574" max="6584" width="0" style="60" hidden="1" customWidth="1"/>
    <col min="6585" max="6587" width="8.140625" style="60" customWidth="1"/>
    <col min="6588" max="6588" width="7.42578125" style="60" customWidth="1"/>
    <col min="6589" max="6589" width="5.7109375" style="60" customWidth="1"/>
    <col min="6590" max="6590" width="6.42578125" style="60" customWidth="1"/>
    <col min="6591" max="6591" width="5.7109375" style="60" customWidth="1"/>
    <col min="6592" max="6592" width="5.42578125" style="60" customWidth="1"/>
    <col min="6593" max="6593" width="5.28515625" style="60" customWidth="1"/>
    <col min="6594" max="6594" width="5.42578125" style="60" customWidth="1"/>
    <col min="6595" max="6595" width="5.28515625" style="60" customWidth="1"/>
    <col min="6596" max="6596" width="5.85546875" style="60" customWidth="1"/>
    <col min="6597" max="6597" width="6.140625" style="60" customWidth="1"/>
    <col min="6598" max="6737" width="9.140625" style="60"/>
    <col min="6738" max="6738" width="18.5703125" style="60" customWidth="1"/>
    <col min="6739" max="6739" width="3.5703125" style="60" customWidth="1"/>
    <col min="6740" max="6740" width="3" style="60" customWidth="1"/>
    <col min="6741" max="6741" width="8.140625" style="60" customWidth="1"/>
    <col min="6742" max="6747" width="0" style="60" hidden="1" customWidth="1"/>
    <col min="6748" max="6748" width="7.5703125" style="60" customWidth="1"/>
    <col min="6749" max="6769" width="0" style="60" hidden="1" customWidth="1"/>
    <col min="6770" max="6770" width="7.85546875" style="60" customWidth="1"/>
    <col min="6771" max="6787" width="0" style="60" hidden="1" customWidth="1"/>
    <col min="6788" max="6788" width="7.5703125" style="60" customWidth="1"/>
    <col min="6789" max="6808" width="0" style="60" hidden="1" customWidth="1"/>
    <col min="6809" max="6809" width="7.5703125" style="60" customWidth="1"/>
    <col min="6810" max="6828" width="0" style="60" hidden="1" customWidth="1"/>
    <col min="6829" max="6829" width="8.28515625" style="60" customWidth="1"/>
    <col min="6830" max="6840" width="0" style="60" hidden="1" customWidth="1"/>
    <col min="6841" max="6843" width="8.140625" style="60" customWidth="1"/>
    <col min="6844" max="6844" width="7.42578125" style="60" customWidth="1"/>
    <col min="6845" max="6845" width="5.7109375" style="60" customWidth="1"/>
    <col min="6846" max="6846" width="6.42578125" style="60" customWidth="1"/>
    <col min="6847" max="6847" width="5.7109375" style="60" customWidth="1"/>
    <col min="6848" max="6848" width="5.42578125" style="60" customWidth="1"/>
    <col min="6849" max="6849" width="5.28515625" style="60" customWidth="1"/>
    <col min="6850" max="6850" width="5.42578125" style="60" customWidth="1"/>
    <col min="6851" max="6851" width="5.28515625" style="60" customWidth="1"/>
    <col min="6852" max="6852" width="5.85546875" style="60" customWidth="1"/>
    <col min="6853" max="6853" width="6.140625" style="60" customWidth="1"/>
    <col min="6854" max="6993" width="9.140625" style="60"/>
    <col min="6994" max="6994" width="18.5703125" style="60" customWidth="1"/>
    <col min="6995" max="6995" width="3.5703125" style="60" customWidth="1"/>
    <col min="6996" max="6996" width="3" style="60" customWidth="1"/>
    <col min="6997" max="6997" width="8.140625" style="60" customWidth="1"/>
    <col min="6998" max="7003" width="0" style="60" hidden="1" customWidth="1"/>
    <col min="7004" max="7004" width="7.5703125" style="60" customWidth="1"/>
    <col min="7005" max="7025" width="0" style="60" hidden="1" customWidth="1"/>
    <col min="7026" max="7026" width="7.85546875" style="60" customWidth="1"/>
    <col min="7027" max="7043" width="0" style="60" hidden="1" customWidth="1"/>
    <col min="7044" max="7044" width="7.5703125" style="60" customWidth="1"/>
    <col min="7045" max="7064" width="0" style="60" hidden="1" customWidth="1"/>
    <col min="7065" max="7065" width="7.5703125" style="60" customWidth="1"/>
    <col min="7066" max="7084" width="0" style="60" hidden="1" customWidth="1"/>
    <col min="7085" max="7085" width="8.28515625" style="60" customWidth="1"/>
    <col min="7086" max="7096" width="0" style="60" hidden="1" customWidth="1"/>
    <col min="7097" max="7099" width="8.140625" style="60" customWidth="1"/>
    <col min="7100" max="7100" width="7.42578125" style="60" customWidth="1"/>
    <col min="7101" max="7101" width="5.7109375" style="60" customWidth="1"/>
    <col min="7102" max="7102" width="6.42578125" style="60" customWidth="1"/>
    <col min="7103" max="7103" width="5.7109375" style="60" customWidth="1"/>
    <col min="7104" max="7104" width="5.42578125" style="60" customWidth="1"/>
    <col min="7105" max="7105" width="5.28515625" style="60" customWidth="1"/>
    <col min="7106" max="7106" width="5.42578125" style="60" customWidth="1"/>
    <col min="7107" max="7107" width="5.28515625" style="60" customWidth="1"/>
    <col min="7108" max="7108" width="5.85546875" style="60" customWidth="1"/>
    <col min="7109" max="7109" width="6.140625" style="60" customWidth="1"/>
    <col min="7110" max="7249" width="9.140625" style="60"/>
    <col min="7250" max="7250" width="18.5703125" style="60" customWidth="1"/>
    <col min="7251" max="7251" width="3.5703125" style="60" customWidth="1"/>
    <col min="7252" max="7252" width="3" style="60" customWidth="1"/>
    <col min="7253" max="7253" width="8.140625" style="60" customWidth="1"/>
    <col min="7254" max="7259" width="0" style="60" hidden="1" customWidth="1"/>
    <col min="7260" max="7260" width="7.5703125" style="60" customWidth="1"/>
    <col min="7261" max="7281" width="0" style="60" hidden="1" customWidth="1"/>
    <col min="7282" max="7282" width="7.85546875" style="60" customWidth="1"/>
    <col min="7283" max="7299" width="0" style="60" hidden="1" customWidth="1"/>
    <col min="7300" max="7300" width="7.5703125" style="60" customWidth="1"/>
    <col min="7301" max="7320" width="0" style="60" hidden="1" customWidth="1"/>
    <col min="7321" max="7321" width="7.5703125" style="60" customWidth="1"/>
    <col min="7322" max="7340" width="0" style="60" hidden="1" customWidth="1"/>
    <col min="7341" max="7341" width="8.28515625" style="60" customWidth="1"/>
    <col min="7342" max="7352" width="0" style="60" hidden="1" customWidth="1"/>
    <col min="7353" max="7355" width="8.140625" style="60" customWidth="1"/>
    <col min="7356" max="7356" width="7.42578125" style="60" customWidth="1"/>
    <col min="7357" max="7357" width="5.7109375" style="60" customWidth="1"/>
    <col min="7358" max="7358" width="6.42578125" style="60" customWidth="1"/>
    <col min="7359" max="7359" width="5.7109375" style="60" customWidth="1"/>
    <col min="7360" max="7360" width="5.42578125" style="60" customWidth="1"/>
    <col min="7361" max="7361" width="5.28515625" style="60" customWidth="1"/>
    <col min="7362" max="7362" width="5.42578125" style="60" customWidth="1"/>
    <col min="7363" max="7363" width="5.28515625" style="60" customWidth="1"/>
    <col min="7364" max="7364" width="5.85546875" style="60" customWidth="1"/>
    <col min="7365" max="7365" width="6.140625" style="60" customWidth="1"/>
    <col min="7366" max="7505" width="9.140625" style="60"/>
    <col min="7506" max="7506" width="18.5703125" style="60" customWidth="1"/>
    <col min="7507" max="7507" width="3.5703125" style="60" customWidth="1"/>
    <col min="7508" max="7508" width="3" style="60" customWidth="1"/>
    <col min="7509" max="7509" width="8.140625" style="60" customWidth="1"/>
    <col min="7510" max="7515" width="0" style="60" hidden="1" customWidth="1"/>
    <col min="7516" max="7516" width="7.5703125" style="60" customWidth="1"/>
    <col min="7517" max="7537" width="0" style="60" hidden="1" customWidth="1"/>
    <col min="7538" max="7538" width="7.85546875" style="60" customWidth="1"/>
    <col min="7539" max="7555" width="0" style="60" hidden="1" customWidth="1"/>
    <col min="7556" max="7556" width="7.5703125" style="60" customWidth="1"/>
    <col min="7557" max="7576" width="0" style="60" hidden="1" customWidth="1"/>
    <col min="7577" max="7577" width="7.5703125" style="60" customWidth="1"/>
    <col min="7578" max="7596" width="0" style="60" hidden="1" customWidth="1"/>
    <col min="7597" max="7597" width="8.28515625" style="60" customWidth="1"/>
    <col min="7598" max="7608" width="0" style="60" hidden="1" customWidth="1"/>
    <col min="7609" max="7611" width="8.140625" style="60" customWidth="1"/>
    <col min="7612" max="7612" width="7.42578125" style="60" customWidth="1"/>
    <col min="7613" max="7613" width="5.7109375" style="60" customWidth="1"/>
    <col min="7614" max="7614" width="6.42578125" style="60" customWidth="1"/>
    <col min="7615" max="7615" width="5.7109375" style="60" customWidth="1"/>
    <col min="7616" max="7616" width="5.42578125" style="60" customWidth="1"/>
    <col min="7617" max="7617" width="5.28515625" style="60" customWidth="1"/>
    <col min="7618" max="7618" width="5.42578125" style="60" customWidth="1"/>
    <col min="7619" max="7619" width="5.28515625" style="60" customWidth="1"/>
    <col min="7620" max="7620" width="5.85546875" style="60" customWidth="1"/>
    <col min="7621" max="7621" width="6.140625" style="60" customWidth="1"/>
    <col min="7622" max="7761" width="9.140625" style="60"/>
    <col min="7762" max="7762" width="18.5703125" style="60" customWidth="1"/>
    <col min="7763" max="7763" width="3.5703125" style="60" customWidth="1"/>
    <col min="7764" max="7764" width="3" style="60" customWidth="1"/>
    <col min="7765" max="7765" width="8.140625" style="60" customWidth="1"/>
    <col min="7766" max="7771" width="0" style="60" hidden="1" customWidth="1"/>
    <col min="7772" max="7772" width="7.5703125" style="60" customWidth="1"/>
    <col min="7773" max="7793" width="0" style="60" hidden="1" customWidth="1"/>
    <col min="7794" max="7794" width="7.85546875" style="60" customWidth="1"/>
    <col min="7795" max="7811" width="0" style="60" hidden="1" customWidth="1"/>
    <col min="7812" max="7812" width="7.5703125" style="60" customWidth="1"/>
    <col min="7813" max="7832" width="0" style="60" hidden="1" customWidth="1"/>
    <col min="7833" max="7833" width="7.5703125" style="60" customWidth="1"/>
    <col min="7834" max="7852" width="0" style="60" hidden="1" customWidth="1"/>
    <col min="7853" max="7853" width="8.28515625" style="60" customWidth="1"/>
    <col min="7854" max="7864" width="0" style="60" hidden="1" customWidth="1"/>
    <col min="7865" max="7867" width="8.140625" style="60" customWidth="1"/>
    <col min="7868" max="7868" width="7.42578125" style="60" customWidth="1"/>
    <col min="7869" max="7869" width="5.7109375" style="60" customWidth="1"/>
    <col min="7870" max="7870" width="6.42578125" style="60" customWidth="1"/>
    <col min="7871" max="7871" width="5.7109375" style="60" customWidth="1"/>
    <col min="7872" max="7872" width="5.42578125" style="60" customWidth="1"/>
    <col min="7873" max="7873" width="5.28515625" style="60" customWidth="1"/>
    <col min="7874" max="7874" width="5.42578125" style="60" customWidth="1"/>
    <col min="7875" max="7875" width="5.28515625" style="60" customWidth="1"/>
    <col min="7876" max="7876" width="5.85546875" style="60" customWidth="1"/>
    <col min="7877" max="7877" width="6.140625" style="60" customWidth="1"/>
    <col min="7878" max="8017" width="9.140625" style="60"/>
    <col min="8018" max="8018" width="18.5703125" style="60" customWidth="1"/>
    <col min="8019" max="8019" width="3.5703125" style="60" customWidth="1"/>
    <col min="8020" max="8020" width="3" style="60" customWidth="1"/>
    <col min="8021" max="8021" width="8.140625" style="60" customWidth="1"/>
    <col min="8022" max="8027" width="0" style="60" hidden="1" customWidth="1"/>
    <col min="8028" max="8028" width="7.5703125" style="60" customWidth="1"/>
    <col min="8029" max="8049" width="0" style="60" hidden="1" customWidth="1"/>
    <col min="8050" max="8050" width="7.85546875" style="60" customWidth="1"/>
    <col min="8051" max="8067" width="0" style="60" hidden="1" customWidth="1"/>
    <col min="8068" max="8068" width="7.5703125" style="60" customWidth="1"/>
    <col min="8069" max="8088" width="0" style="60" hidden="1" customWidth="1"/>
    <col min="8089" max="8089" width="7.5703125" style="60" customWidth="1"/>
    <col min="8090" max="8108" width="0" style="60" hidden="1" customWidth="1"/>
    <col min="8109" max="8109" width="8.28515625" style="60" customWidth="1"/>
    <col min="8110" max="8120" width="0" style="60" hidden="1" customWidth="1"/>
    <col min="8121" max="8123" width="8.140625" style="60" customWidth="1"/>
    <col min="8124" max="8124" width="7.42578125" style="60" customWidth="1"/>
    <col min="8125" max="8125" width="5.7109375" style="60" customWidth="1"/>
    <col min="8126" max="8126" width="6.42578125" style="60" customWidth="1"/>
    <col min="8127" max="8127" width="5.7109375" style="60" customWidth="1"/>
    <col min="8128" max="8128" width="5.42578125" style="60" customWidth="1"/>
    <col min="8129" max="8129" width="5.28515625" style="60" customWidth="1"/>
    <col min="8130" max="8130" width="5.42578125" style="60" customWidth="1"/>
    <col min="8131" max="8131" width="5.28515625" style="60" customWidth="1"/>
    <col min="8132" max="8132" width="5.85546875" style="60" customWidth="1"/>
    <col min="8133" max="8133" width="6.140625" style="60" customWidth="1"/>
    <col min="8134" max="8273" width="9.140625" style="60"/>
    <col min="8274" max="8274" width="18.5703125" style="60" customWidth="1"/>
    <col min="8275" max="8275" width="3.5703125" style="60" customWidth="1"/>
    <col min="8276" max="8276" width="3" style="60" customWidth="1"/>
    <col min="8277" max="8277" width="8.140625" style="60" customWidth="1"/>
    <col min="8278" max="8283" width="0" style="60" hidden="1" customWidth="1"/>
    <col min="8284" max="8284" width="7.5703125" style="60" customWidth="1"/>
    <col min="8285" max="8305" width="0" style="60" hidden="1" customWidth="1"/>
    <col min="8306" max="8306" width="7.85546875" style="60" customWidth="1"/>
    <col min="8307" max="8323" width="0" style="60" hidden="1" customWidth="1"/>
    <col min="8324" max="8324" width="7.5703125" style="60" customWidth="1"/>
    <col min="8325" max="8344" width="0" style="60" hidden="1" customWidth="1"/>
    <col min="8345" max="8345" width="7.5703125" style="60" customWidth="1"/>
    <col min="8346" max="8364" width="0" style="60" hidden="1" customWidth="1"/>
    <col min="8365" max="8365" width="8.28515625" style="60" customWidth="1"/>
    <col min="8366" max="8376" width="0" style="60" hidden="1" customWidth="1"/>
    <col min="8377" max="8379" width="8.140625" style="60" customWidth="1"/>
    <col min="8380" max="8380" width="7.42578125" style="60" customWidth="1"/>
    <col min="8381" max="8381" width="5.7109375" style="60" customWidth="1"/>
    <col min="8382" max="8382" width="6.42578125" style="60" customWidth="1"/>
    <col min="8383" max="8383" width="5.7109375" style="60" customWidth="1"/>
    <col min="8384" max="8384" width="5.42578125" style="60" customWidth="1"/>
    <col min="8385" max="8385" width="5.28515625" style="60" customWidth="1"/>
    <col min="8386" max="8386" width="5.42578125" style="60" customWidth="1"/>
    <col min="8387" max="8387" width="5.28515625" style="60" customWidth="1"/>
    <col min="8388" max="8388" width="5.85546875" style="60" customWidth="1"/>
    <col min="8389" max="8389" width="6.140625" style="60" customWidth="1"/>
    <col min="8390" max="8529" width="9.140625" style="60"/>
    <col min="8530" max="8530" width="18.5703125" style="60" customWidth="1"/>
    <col min="8531" max="8531" width="3.5703125" style="60" customWidth="1"/>
    <col min="8532" max="8532" width="3" style="60" customWidth="1"/>
    <col min="8533" max="8533" width="8.140625" style="60" customWidth="1"/>
    <col min="8534" max="8539" width="0" style="60" hidden="1" customWidth="1"/>
    <col min="8540" max="8540" width="7.5703125" style="60" customWidth="1"/>
    <col min="8541" max="8561" width="0" style="60" hidden="1" customWidth="1"/>
    <col min="8562" max="8562" width="7.85546875" style="60" customWidth="1"/>
    <col min="8563" max="8579" width="0" style="60" hidden="1" customWidth="1"/>
    <col min="8580" max="8580" width="7.5703125" style="60" customWidth="1"/>
    <col min="8581" max="8600" width="0" style="60" hidden="1" customWidth="1"/>
    <col min="8601" max="8601" width="7.5703125" style="60" customWidth="1"/>
    <col min="8602" max="8620" width="0" style="60" hidden="1" customWidth="1"/>
    <col min="8621" max="8621" width="8.28515625" style="60" customWidth="1"/>
    <col min="8622" max="8632" width="0" style="60" hidden="1" customWidth="1"/>
    <col min="8633" max="8635" width="8.140625" style="60" customWidth="1"/>
    <col min="8636" max="8636" width="7.42578125" style="60" customWidth="1"/>
    <col min="8637" max="8637" width="5.7109375" style="60" customWidth="1"/>
    <col min="8638" max="8638" width="6.42578125" style="60" customWidth="1"/>
    <col min="8639" max="8639" width="5.7109375" style="60" customWidth="1"/>
    <col min="8640" max="8640" width="5.42578125" style="60" customWidth="1"/>
    <col min="8641" max="8641" width="5.28515625" style="60" customWidth="1"/>
    <col min="8642" max="8642" width="5.42578125" style="60" customWidth="1"/>
    <col min="8643" max="8643" width="5.28515625" style="60" customWidth="1"/>
    <col min="8644" max="8644" width="5.85546875" style="60" customWidth="1"/>
    <col min="8645" max="8645" width="6.140625" style="60" customWidth="1"/>
    <col min="8646" max="8785" width="9.140625" style="60"/>
    <col min="8786" max="8786" width="18.5703125" style="60" customWidth="1"/>
    <col min="8787" max="8787" width="3.5703125" style="60" customWidth="1"/>
    <col min="8788" max="8788" width="3" style="60" customWidth="1"/>
    <col min="8789" max="8789" width="8.140625" style="60" customWidth="1"/>
    <col min="8790" max="8795" width="0" style="60" hidden="1" customWidth="1"/>
    <col min="8796" max="8796" width="7.5703125" style="60" customWidth="1"/>
    <col min="8797" max="8817" width="0" style="60" hidden="1" customWidth="1"/>
    <col min="8818" max="8818" width="7.85546875" style="60" customWidth="1"/>
    <col min="8819" max="8835" width="0" style="60" hidden="1" customWidth="1"/>
    <col min="8836" max="8836" width="7.5703125" style="60" customWidth="1"/>
    <col min="8837" max="8856" width="0" style="60" hidden="1" customWidth="1"/>
    <col min="8857" max="8857" width="7.5703125" style="60" customWidth="1"/>
    <col min="8858" max="8876" width="0" style="60" hidden="1" customWidth="1"/>
    <col min="8877" max="8877" width="8.28515625" style="60" customWidth="1"/>
    <col min="8878" max="8888" width="0" style="60" hidden="1" customWidth="1"/>
    <col min="8889" max="8891" width="8.140625" style="60" customWidth="1"/>
    <col min="8892" max="8892" width="7.42578125" style="60" customWidth="1"/>
    <col min="8893" max="8893" width="5.7109375" style="60" customWidth="1"/>
    <col min="8894" max="8894" width="6.42578125" style="60" customWidth="1"/>
    <col min="8895" max="8895" width="5.7109375" style="60" customWidth="1"/>
    <col min="8896" max="8896" width="5.42578125" style="60" customWidth="1"/>
    <col min="8897" max="8897" width="5.28515625" style="60" customWidth="1"/>
    <col min="8898" max="8898" width="5.42578125" style="60" customWidth="1"/>
    <col min="8899" max="8899" width="5.28515625" style="60" customWidth="1"/>
    <col min="8900" max="8900" width="5.85546875" style="60" customWidth="1"/>
    <col min="8901" max="8901" width="6.140625" style="60" customWidth="1"/>
    <col min="8902" max="9041" width="9.140625" style="60"/>
    <col min="9042" max="9042" width="18.5703125" style="60" customWidth="1"/>
    <col min="9043" max="9043" width="3.5703125" style="60" customWidth="1"/>
    <col min="9044" max="9044" width="3" style="60" customWidth="1"/>
    <col min="9045" max="9045" width="8.140625" style="60" customWidth="1"/>
    <col min="9046" max="9051" width="0" style="60" hidden="1" customWidth="1"/>
    <col min="9052" max="9052" width="7.5703125" style="60" customWidth="1"/>
    <col min="9053" max="9073" width="0" style="60" hidden="1" customWidth="1"/>
    <col min="9074" max="9074" width="7.85546875" style="60" customWidth="1"/>
    <col min="9075" max="9091" width="0" style="60" hidden="1" customWidth="1"/>
    <col min="9092" max="9092" width="7.5703125" style="60" customWidth="1"/>
    <col min="9093" max="9112" width="0" style="60" hidden="1" customWidth="1"/>
    <col min="9113" max="9113" width="7.5703125" style="60" customWidth="1"/>
    <col min="9114" max="9132" width="0" style="60" hidden="1" customWidth="1"/>
    <col min="9133" max="9133" width="8.28515625" style="60" customWidth="1"/>
    <col min="9134" max="9144" width="0" style="60" hidden="1" customWidth="1"/>
    <col min="9145" max="9147" width="8.140625" style="60" customWidth="1"/>
    <col min="9148" max="9148" width="7.42578125" style="60" customWidth="1"/>
    <col min="9149" max="9149" width="5.7109375" style="60" customWidth="1"/>
    <col min="9150" max="9150" width="6.42578125" style="60" customWidth="1"/>
    <col min="9151" max="9151" width="5.7109375" style="60" customWidth="1"/>
    <col min="9152" max="9152" width="5.42578125" style="60" customWidth="1"/>
    <col min="9153" max="9153" width="5.28515625" style="60" customWidth="1"/>
    <col min="9154" max="9154" width="5.42578125" style="60" customWidth="1"/>
    <col min="9155" max="9155" width="5.28515625" style="60" customWidth="1"/>
    <col min="9156" max="9156" width="5.85546875" style="60" customWidth="1"/>
    <col min="9157" max="9157" width="6.140625" style="60" customWidth="1"/>
    <col min="9158" max="9297" width="9.140625" style="60"/>
    <col min="9298" max="9298" width="18.5703125" style="60" customWidth="1"/>
    <col min="9299" max="9299" width="3.5703125" style="60" customWidth="1"/>
    <col min="9300" max="9300" width="3" style="60" customWidth="1"/>
    <col min="9301" max="9301" width="8.140625" style="60" customWidth="1"/>
    <col min="9302" max="9307" width="0" style="60" hidden="1" customWidth="1"/>
    <col min="9308" max="9308" width="7.5703125" style="60" customWidth="1"/>
    <col min="9309" max="9329" width="0" style="60" hidden="1" customWidth="1"/>
    <col min="9330" max="9330" width="7.85546875" style="60" customWidth="1"/>
    <col min="9331" max="9347" width="0" style="60" hidden="1" customWidth="1"/>
    <col min="9348" max="9348" width="7.5703125" style="60" customWidth="1"/>
    <col min="9349" max="9368" width="0" style="60" hidden="1" customWidth="1"/>
    <col min="9369" max="9369" width="7.5703125" style="60" customWidth="1"/>
    <col min="9370" max="9388" width="0" style="60" hidden="1" customWidth="1"/>
    <col min="9389" max="9389" width="8.28515625" style="60" customWidth="1"/>
    <col min="9390" max="9400" width="0" style="60" hidden="1" customWidth="1"/>
    <col min="9401" max="9403" width="8.140625" style="60" customWidth="1"/>
    <col min="9404" max="9404" width="7.42578125" style="60" customWidth="1"/>
    <col min="9405" max="9405" width="5.7109375" style="60" customWidth="1"/>
    <col min="9406" max="9406" width="6.42578125" style="60" customWidth="1"/>
    <col min="9407" max="9407" width="5.7109375" style="60" customWidth="1"/>
    <col min="9408" max="9408" width="5.42578125" style="60" customWidth="1"/>
    <col min="9409" max="9409" width="5.28515625" style="60" customWidth="1"/>
    <col min="9410" max="9410" width="5.42578125" style="60" customWidth="1"/>
    <col min="9411" max="9411" width="5.28515625" style="60" customWidth="1"/>
    <col min="9412" max="9412" width="5.85546875" style="60" customWidth="1"/>
    <col min="9413" max="9413" width="6.140625" style="60" customWidth="1"/>
    <col min="9414" max="9553" width="9.140625" style="60"/>
    <col min="9554" max="9554" width="18.5703125" style="60" customWidth="1"/>
    <col min="9555" max="9555" width="3.5703125" style="60" customWidth="1"/>
    <col min="9556" max="9556" width="3" style="60" customWidth="1"/>
    <col min="9557" max="9557" width="8.140625" style="60" customWidth="1"/>
    <col min="9558" max="9563" width="0" style="60" hidden="1" customWidth="1"/>
    <col min="9564" max="9564" width="7.5703125" style="60" customWidth="1"/>
    <col min="9565" max="9585" width="0" style="60" hidden="1" customWidth="1"/>
    <col min="9586" max="9586" width="7.85546875" style="60" customWidth="1"/>
    <col min="9587" max="9603" width="0" style="60" hidden="1" customWidth="1"/>
    <col min="9604" max="9604" width="7.5703125" style="60" customWidth="1"/>
    <col min="9605" max="9624" width="0" style="60" hidden="1" customWidth="1"/>
    <col min="9625" max="9625" width="7.5703125" style="60" customWidth="1"/>
    <col min="9626" max="9644" width="0" style="60" hidden="1" customWidth="1"/>
    <col min="9645" max="9645" width="8.28515625" style="60" customWidth="1"/>
    <col min="9646" max="9656" width="0" style="60" hidden="1" customWidth="1"/>
    <col min="9657" max="9659" width="8.140625" style="60" customWidth="1"/>
    <col min="9660" max="9660" width="7.42578125" style="60" customWidth="1"/>
    <col min="9661" max="9661" width="5.7109375" style="60" customWidth="1"/>
    <col min="9662" max="9662" width="6.42578125" style="60" customWidth="1"/>
    <col min="9663" max="9663" width="5.7109375" style="60" customWidth="1"/>
    <col min="9664" max="9664" width="5.42578125" style="60" customWidth="1"/>
    <col min="9665" max="9665" width="5.28515625" style="60" customWidth="1"/>
    <col min="9666" max="9666" width="5.42578125" style="60" customWidth="1"/>
    <col min="9667" max="9667" width="5.28515625" style="60" customWidth="1"/>
    <col min="9668" max="9668" width="5.85546875" style="60" customWidth="1"/>
    <col min="9669" max="9669" width="6.140625" style="60" customWidth="1"/>
    <col min="9670" max="9809" width="9.140625" style="60"/>
    <col min="9810" max="9810" width="18.5703125" style="60" customWidth="1"/>
    <col min="9811" max="9811" width="3.5703125" style="60" customWidth="1"/>
    <col min="9812" max="9812" width="3" style="60" customWidth="1"/>
    <col min="9813" max="9813" width="8.140625" style="60" customWidth="1"/>
    <col min="9814" max="9819" width="0" style="60" hidden="1" customWidth="1"/>
    <col min="9820" max="9820" width="7.5703125" style="60" customWidth="1"/>
    <col min="9821" max="9841" width="0" style="60" hidden="1" customWidth="1"/>
    <col min="9842" max="9842" width="7.85546875" style="60" customWidth="1"/>
    <col min="9843" max="9859" width="0" style="60" hidden="1" customWidth="1"/>
    <col min="9860" max="9860" width="7.5703125" style="60" customWidth="1"/>
    <col min="9861" max="9880" width="0" style="60" hidden="1" customWidth="1"/>
    <col min="9881" max="9881" width="7.5703125" style="60" customWidth="1"/>
    <col min="9882" max="9900" width="0" style="60" hidden="1" customWidth="1"/>
    <col min="9901" max="9901" width="8.28515625" style="60" customWidth="1"/>
    <col min="9902" max="9912" width="0" style="60" hidden="1" customWidth="1"/>
    <col min="9913" max="9915" width="8.140625" style="60" customWidth="1"/>
    <col min="9916" max="9916" width="7.42578125" style="60" customWidth="1"/>
    <col min="9917" max="9917" width="5.7109375" style="60" customWidth="1"/>
    <col min="9918" max="9918" width="6.42578125" style="60" customWidth="1"/>
    <col min="9919" max="9919" width="5.7109375" style="60" customWidth="1"/>
    <col min="9920" max="9920" width="5.42578125" style="60" customWidth="1"/>
    <col min="9921" max="9921" width="5.28515625" style="60" customWidth="1"/>
    <col min="9922" max="9922" width="5.42578125" style="60" customWidth="1"/>
    <col min="9923" max="9923" width="5.28515625" style="60" customWidth="1"/>
    <col min="9924" max="9924" width="5.85546875" style="60" customWidth="1"/>
    <col min="9925" max="9925" width="6.140625" style="60" customWidth="1"/>
    <col min="9926" max="10065" width="9.140625" style="60"/>
    <col min="10066" max="10066" width="18.5703125" style="60" customWidth="1"/>
    <col min="10067" max="10067" width="3.5703125" style="60" customWidth="1"/>
    <col min="10068" max="10068" width="3" style="60" customWidth="1"/>
    <col min="10069" max="10069" width="8.140625" style="60" customWidth="1"/>
    <col min="10070" max="10075" width="0" style="60" hidden="1" customWidth="1"/>
    <col min="10076" max="10076" width="7.5703125" style="60" customWidth="1"/>
    <col min="10077" max="10097" width="0" style="60" hidden="1" customWidth="1"/>
    <col min="10098" max="10098" width="7.85546875" style="60" customWidth="1"/>
    <col min="10099" max="10115" width="0" style="60" hidden="1" customWidth="1"/>
    <col min="10116" max="10116" width="7.5703125" style="60" customWidth="1"/>
    <col min="10117" max="10136" width="0" style="60" hidden="1" customWidth="1"/>
    <col min="10137" max="10137" width="7.5703125" style="60" customWidth="1"/>
    <col min="10138" max="10156" width="0" style="60" hidden="1" customWidth="1"/>
    <col min="10157" max="10157" width="8.28515625" style="60" customWidth="1"/>
    <col min="10158" max="10168" width="0" style="60" hidden="1" customWidth="1"/>
    <col min="10169" max="10171" width="8.140625" style="60" customWidth="1"/>
    <col min="10172" max="10172" width="7.42578125" style="60" customWidth="1"/>
    <col min="10173" max="10173" width="5.7109375" style="60" customWidth="1"/>
    <col min="10174" max="10174" width="6.42578125" style="60" customWidth="1"/>
    <col min="10175" max="10175" width="5.7109375" style="60" customWidth="1"/>
    <col min="10176" max="10176" width="5.42578125" style="60" customWidth="1"/>
    <col min="10177" max="10177" width="5.28515625" style="60" customWidth="1"/>
    <col min="10178" max="10178" width="5.42578125" style="60" customWidth="1"/>
    <col min="10179" max="10179" width="5.28515625" style="60" customWidth="1"/>
    <col min="10180" max="10180" width="5.85546875" style="60" customWidth="1"/>
    <col min="10181" max="10181" width="6.140625" style="60" customWidth="1"/>
    <col min="10182" max="10321" width="9.140625" style="60"/>
    <col min="10322" max="10322" width="18.5703125" style="60" customWidth="1"/>
    <col min="10323" max="10323" width="3.5703125" style="60" customWidth="1"/>
    <col min="10324" max="10324" width="3" style="60" customWidth="1"/>
    <col min="10325" max="10325" width="8.140625" style="60" customWidth="1"/>
    <col min="10326" max="10331" width="0" style="60" hidden="1" customWidth="1"/>
    <col min="10332" max="10332" width="7.5703125" style="60" customWidth="1"/>
    <col min="10333" max="10353" width="0" style="60" hidden="1" customWidth="1"/>
    <col min="10354" max="10354" width="7.85546875" style="60" customWidth="1"/>
    <col min="10355" max="10371" width="0" style="60" hidden="1" customWidth="1"/>
    <col min="10372" max="10372" width="7.5703125" style="60" customWidth="1"/>
    <col min="10373" max="10392" width="0" style="60" hidden="1" customWidth="1"/>
    <col min="10393" max="10393" width="7.5703125" style="60" customWidth="1"/>
    <col min="10394" max="10412" width="0" style="60" hidden="1" customWidth="1"/>
    <col min="10413" max="10413" width="8.28515625" style="60" customWidth="1"/>
    <col min="10414" max="10424" width="0" style="60" hidden="1" customWidth="1"/>
    <col min="10425" max="10427" width="8.140625" style="60" customWidth="1"/>
    <col min="10428" max="10428" width="7.42578125" style="60" customWidth="1"/>
    <col min="10429" max="10429" width="5.7109375" style="60" customWidth="1"/>
    <col min="10430" max="10430" width="6.42578125" style="60" customWidth="1"/>
    <col min="10431" max="10431" width="5.7109375" style="60" customWidth="1"/>
    <col min="10432" max="10432" width="5.42578125" style="60" customWidth="1"/>
    <col min="10433" max="10433" width="5.28515625" style="60" customWidth="1"/>
    <col min="10434" max="10434" width="5.42578125" style="60" customWidth="1"/>
    <col min="10435" max="10435" width="5.28515625" style="60" customWidth="1"/>
    <col min="10436" max="10436" width="5.85546875" style="60" customWidth="1"/>
    <col min="10437" max="10437" width="6.140625" style="60" customWidth="1"/>
    <col min="10438" max="10577" width="9.140625" style="60"/>
    <col min="10578" max="10578" width="18.5703125" style="60" customWidth="1"/>
    <col min="10579" max="10579" width="3.5703125" style="60" customWidth="1"/>
    <col min="10580" max="10580" width="3" style="60" customWidth="1"/>
    <col min="10581" max="10581" width="8.140625" style="60" customWidth="1"/>
    <col min="10582" max="10587" width="0" style="60" hidden="1" customWidth="1"/>
    <col min="10588" max="10588" width="7.5703125" style="60" customWidth="1"/>
    <col min="10589" max="10609" width="0" style="60" hidden="1" customWidth="1"/>
    <col min="10610" max="10610" width="7.85546875" style="60" customWidth="1"/>
    <col min="10611" max="10627" width="0" style="60" hidden="1" customWidth="1"/>
    <col min="10628" max="10628" width="7.5703125" style="60" customWidth="1"/>
    <col min="10629" max="10648" width="0" style="60" hidden="1" customWidth="1"/>
    <col min="10649" max="10649" width="7.5703125" style="60" customWidth="1"/>
    <col min="10650" max="10668" width="0" style="60" hidden="1" customWidth="1"/>
    <col min="10669" max="10669" width="8.28515625" style="60" customWidth="1"/>
    <col min="10670" max="10680" width="0" style="60" hidden="1" customWidth="1"/>
    <col min="10681" max="10683" width="8.140625" style="60" customWidth="1"/>
    <col min="10684" max="10684" width="7.42578125" style="60" customWidth="1"/>
    <col min="10685" max="10685" width="5.7109375" style="60" customWidth="1"/>
    <col min="10686" max="10686" width="6.42578125" style="60" customWidth="1"/>
    <col min="10687" max="10687" width="5.7109375" style="60" customWidth="1"/>
    <col min="10688" max="10688" width="5.42578125" style="60" customWidth="1"/>
    <col min="10689" max="10689" width="5.28515625" style="60" customWidth="1"/>
    <col min="10690" max="10690" width="5.42578125" style="60" customWidth="1"/>
    <col min="10691" max="10691" width="5.28515625" style="60" customWidth="1"/>
    <col min="10692" max="10692" width="5.85546875" style="60" customWidth="1"/>
    <col min="10693" max="10693" width="6.140625" style="60" customWidth="1"/>
    <col min="10694" max="10833" width="9.140625" style="60"/>
    <col min="10834" max="10834" width="18.5703125" style="60" customWidth="1"/>
    <col min="10835" max="10835" width="3.5703125" style="60" customWidth="1"/>
    <col min="10836" max="10836" width="3" style="60" customWidth="1"/>
    <col min="10837" max="10837" width="8.140625" style="60" customWidth="1"/>
    <col min="10838" max="10843" width="0" style="60" hidden="1" customWidth="1"/>
    <col min="10844" max="10844" width="7.5703125" style="60" customWidth="1"/>
    <col min="10845" max="10865" width="0" style="60" hidden="1" customWidth="1"/>
    <col min="10866" max="10866" width="7.85546875" style="60" customWidth="1"/>
    <col min="10867" max="10883" width="0" style="60" hidden="1" customWidth="1"/>
    <col min="10884" max="10884" width="7.5703125" style="60" customWidth="1"/>
    <col min="10885" max="10904" width="0" style="60" hidden="1" customWidth="1"/>
    <col min="10905" max="10905" width="7.5703125" style="60" customWidth="1"/>
    <col min="10906" max="10924" width="0" style="60" hidden="1" customWidth="1"/>
    <col min="10925" max="10925" width="8.28515625" style="60" customWidth="1"/>
    <col min="10926" max="10936" width="0" style="60" hidden="1" customWidth="1"/>
    <col min="10937" max="10939" width="8.140625" style="60" customWidth="1"/>
    <col min="10940" max="10940" width="7.42578125" style="60" customWidth="1"/>
    <col min="10941" max="10941" width="5.7109375" style="60" customWidth="1"/>
    <col min="10942" max="10942" width="6.42578125" style="60" customWidth="1"/>
    <col min="10943" max="10943" width="5.7109375" style="60" customWidth="1"/>
    <col min="10944" max="10944" width="5.42578125" style="60" customWidth="1"/>
    <col min="10945" max="10945" width="5.28515625" style="60" customWidth="1"/>
    <col min="10946" max="10946" width="5.42578125" style="60" customWidth="1"/>
    <col min="10947" max="10947" width="5.28515625" style="60" customWidth="1"/>
    <col min="10948" max="10948" width="5.85546875" style="60" customWidth="1"/>
    <col min="10949" max="10949" width="6.140625" style="60" customWidth="1"/>
    <col min="10950" max="11089" width="9.140625" style="60"/>
    <col min="11090" max="11090" width="18.5703125" style="60" customWidth="1"/>
    <col min="11091" max="11091" width="3.5703125" style="60" customWidth="1"/>
    <col min="11092" max="11092" width="3" style="60" customWidth="1"/>
    <col min="11093" max="11093" width="8.140625" style="60" customWidth="1"/>
    <col min="11094" max="11099" width="0" style="60" hidden="1" customWidth="1"/>
    <col min="11100" max="11100" width="7.5703125" style="60" customWidth="1"/>
    <col min="11101" max="11121" width="0" style="60" hidden="1" customWidth="1"/>
    <col min="11122" max="11122" width="7.85546875" style="60" customWidth="1"/>
    <col min="11123" max="11139" width="0" style="60" hidden="1" customWidth="1"/>
    <col min="11140" max="11140" width="7.5703125" style="60" customWidth="1"/>
    <col min="11141" max="11160" width="0" style="60" hidden="1" customWidth="1"/>
    <col min="11161" max="11161" width="7.5703125" style="60" customWidth="1"/>
    <col min="11162" max="11180" width="0" style="60" hidden="1" customWidth="1"/>
    <col min="11181" max="11181" width="8.28515625" style="60" customWidth="1"/>
    <col min="11182" max="11192" width="0" style="60" hidden="1" customWidth="1"/>
    <col min="11193" max="11195" width="8.140625" style="60" customWidth="1"/>
    <col min="11196" max="11196" width="7.42578125" style="60" customWidth="1"/>
    <col min="11197" max="11197" width="5.7109375" style="60" customWidth="1"/>
    <col min="11198" max="11198" width="6.42578125" style="60" customWidth="1"/>
    <col min="11199" max="11199" width="5.7109375" style="60" customWidth="1"/>
    <col min="11200" max="11200" width="5.42578125" style="60" customWidth="1"/>
    <col min="11201" max="11201" width="5.28515625" style="60" customWidth="1"/>
    <col min="11202" max="11202" width="5.42578125" style="60" customWidth="1"/>
    <col min="11203" max="11203" width="5.28515625" style="60" customWidth="1"/>
    <col min="11204" max="11204" width="5.85546875" style="60" customWidth="1"/>
    <col min="11205" max="11205" width="6.140625" style="60" customWidth="1"/>
    <col min="11206" max="11345" width="9.140625" style="60"/>
    <col min="11346" max="11346" width="18.5703125" style="60" customWidth="1"/>
    <col min="11347" max="11347" width="3.5703125" style="60" customWidth="1"/>
    <col min="11348" max="11348" width="3" style="60" customWidth="1"/>
    <col min="11349" max="11349" width="8.140625" style="60" customWidth="1"/>
    <col min="11350" max="11355" width="0" style="60" hidden="1" customWidth="1"/>
    <col min="11356" max="11356" width="7.5703125" style="60" customWidth="1"/>
    <col min="11357" max="11377" width="0" style="60" hidden="1" customWidth="1"/>
    <col min="11378" max="11378" width="7.85546875" style="60" customWidth="1"/>
    <col min="11379" max="11395" width="0" style="60" hidden="1" customWidth="1"/>
    <col min="11396" max="11396" width="7.5703125" style="60" customWidth="1"/>
    <col min="11397" max="11416" width="0" style="60" hidden="1" customWidth="1"/>
    <col min="11417" max="11417" width="7.5703125" style="60" customWidth="1"/>
    <col min="11418" max="11436" width="0" style="60" hidden="1" customWidth="1"/>
    <col min="11437" max="11437" width="8.28515625" style="60" customWidth="1"/>
    <col min="11438" max="11448" width="0" style="60" hidden="1" customWidth="1"/>
    <col min="11449" max="11451" width="8.140625" style="60" customWidth="1"/>
    <col min="11452" max="11452" width="7.42578125" style="60" customWidth="1"/>
    <col min="11453" max="11453" width="5.7109375" style="60" customWidth="1"/>
    <col min="11454" max="11454" width="6.42578125" style="60" customWidth="1"/>
    <col min="11455" max="11455" width="5.7109375" style="60" customWidth="1"/>
    <col min="11456" max="11456" width="5.42578125" style="60" customWidth="1"/>
    <col min="11457" max="11457" width="5.28515625" style="60" customWidth="1"/>
    <col min="11458" max="11458" width="5.42578125" style="60" customWidth="1"/>
    <col min="11459" max="11459" width="5.28515625" style="60" customWidth="1"/>
    <col min="11460" max="11460" width="5.85546875" style="60" customWidth="1"/>
    <col min="11461" max="11461" width="6.140625" style="60" customWidth="1"/>
    <col min="11462" max="11601" width="9.140625" style="60"/>
    <col min="11602" max="11602" width="18.5703125" style="60" customWidth="1"/>
    <col min="11603" max="11603" width="3.5703125" style="60" customWidth="1"/>
    <col min="11604" max="11604" width="3" style="60" customWidth="1"/>
    <col min="11605" max="11605" width="8.140625" style="60" customWidth="1"/>
    <col min="11606" max="11611" width="0" style="60" hidden="1" customWidth="1"/>
    <col min="11612" max="11612" width="7.5703125" style="60" customWidth="1"/>
    <col min="11613" max="11633" width="0" style="60" hidden="1" customWidth="1"/>
    <col min="11634" max="11634" width="7.85546875" style="60" customWidth="1"/>
    <col min="11635" max="11651" width="0" style="60" hidden="1" customWidth="1"/>
    <col min="11652" max="11652" width="7.5703125" style="60" customWidth="1"/>
    <col min="11653" max="11672" width="0" style="60" hidden="1" customWidth="1"/>
    <col min="11673" max="11673" width="7.5703125" style="60" customWidth="1"/>
    <col min="11674" max="11692" width="0" style="60" hidden="1" customWidth="1"/>
    <col min="11693" max="11693" width="8.28515625" style="60" customWidth="1"/>
    <col min="11694" max="11704" width="0" style="60" hidden="1" customWidth="1"/>
    <col min="11705" max="11707" width="8.140625" style="60" customWidth="1"/>
    <col min="11708" max="11708" width="7.42578125" style="60" customWidth="1"/>
    <col min="11709" max="11709" width="5.7109375" style="60" customWidth="1"/>
    <col min="11710" max="11710" width="6.42578125" style="60" customWidth="1"/>
    <col min="11711" max="11711" width="5.7109375" style="60" customWidth="1"/>
    <col min="11712" max="11712" width="5.42578125" style="60" customWidth="1"/>
    <col min="11713" max="11713" width="5.28515625" style="60" customWidth="1"/>
    <col min="11714" max="11714" width="5.42578125" style="60" customWidth="1"/>
    <col min="11715" max="11715" width="5.28515625" style="60" customWidth="1"/>
    <col min="11716" max="11716" width="5.85546875" style="60" customWidth="1"/>
    <col min="11717" max="11717" width="6.140625" style="60" customWidth="1"/>
    <col min="11718" max="11857" width="9.140625" style="60"/>
    <col min="11858" max="11858" width="18.5703125" style="60" customWidth="1"/>
    <col min="11859" max="11859" width="3.5703125" style="60" customWidth="1"/>
    <col min="11860" max="11860" width="3" style="60" customWidth="1"/>
    <col min="11861" max="11861" width="8.140625" style="60" customWidth="1"/>
    <col min="11862" max="11867" width="0" style="60" hidden="1" customWidth="1"/>
    <col min="11868" max="11868" width="7.5703125" style="60" customWidth="1"/>
    <col min="11869" max="11889" width="0" style="60" hidden="1" customWidth="1"/>
    <col min="11890" max="11890" width="7.85546875" style="60" customWidth="1"/>
    <col min="11891" max="11907" width="0" style="60" hidden="1" customWidth="1"/>
    <col min="11908" max="11908" width="7.5703125" style="60" customWidth="1"/>
    <col min="11909" max="11928" width="0" style="60" hidden="1" customWidth="1"/>
    <col min="11929" max="11929" width="7.5703125" style="60" customWidth="1"/>
    <col min="11930" max="11948" width="0" style="60" hidden="1" customWidth="1"/>
    <col min="11949" max="11949" width="8.28515625" style="60" customWidth="1"/>
    <col min="11950" max="11960" width="0" style="60" hidden="1" customWidth="1"/>
    <col min="11961" max="11963" width="8.140625" style="60" customWidth="1"/>
    <col min="11964" max="11964" width="7.42578125" style="60" customWidth="1"/>
    <col min="11965" max="11965" width="5.7109375" style="60" customWidth="1"/>
    <col min="11966" max="11966" width="6.42578125" style="60" customWidth="1"/>
    <col min="11967" max="11967" width="5.7109375" style="60" customWidth="1"/>
    <col min="11968" max="11968" width="5.42578125" style="60" customWidth="1"/>
    <col min="11969" max="11969" width="5.28515625" style="60" customWidth="1"/>
    <col min="11970" max="11970" width="5.42578125" style="60" customWidth="1"/>
    <col min="11971" max="11971" width="5.28515625" style="60" customWidth="1"/>
    <col min="11972" max="11972" width="5.85546875" style="60" customWidth="1"/>
    <col min="11973" max="11973" width="6.140625" style="60" customWidth="1"/>
    <col min="11974" max="12113" width="9.140625" style="60"/>
    <col min="12114" max="12114" width="18.5703125" style="60" customWidth="1"/>
    <col min="12115" max="12115" width="3.5703125" style="60" customWidth="1"/>
    <col min="12116" max="12116" width="3" style="60" customWidth="1"/>
    <col min="12117" max="12117" width="8.140625" style="60" customWidth="1"/>
    <col min="12118" max="12123" width="0" style="60" hidden="1" customWidth="1"/>
    <col min="12124" max="12124" width="7.5703125" style="60" customWidth="1"/>
    <col min="12125" max="12145" width="0" style="60" hidden="1" customWidth="1"/>
    <col min="12146" max="12146" width="7.85546875" style="60" customWidth="1"/>
    <col min="12147" max="12163" width="0" style="60" hidden="1" customWidth="1"/>
    <col min="12164" max="12164" width="7.5703125" style="60" customWidth="1"/>
    <col min="12165" max="12184" width="0" style="60" hidden="1" customWidth="1"/>
    <col min="12185" max="12185" width="7.5703125" style="60" customWidth="1"/>
    <col min="12186" max="12204" width="0" style="60" hidden="1" customWidth="1"/>
    <col min="12205" max="12205" width="8.28515625" style="60" customWidth="1"/>
    <col min="12206" max="12216" width="0" style="60" hidden="1" customWidth="1"/>
    <col min="12217" max="12219" width="8.140625" style="60" customWidth="1"/>
    <col min="12220" max="12220" width="7.42578125" style="60" customWidth="1"/>
    <col min="12221" max="12221" width="5.7109375" style="60" customWidth="1"/>
    <col min="12222" max="12222" width="6.42578125" style="60" customWidth="1"/>
    <col min="12223" max="12223" width="5.7109375" style="60" customWidth="1"/>
    <col min="12224" max="12224" width="5.42578125" style="60" customWidth="1"/>
    <col min="12225" max="12225" width="5.28515625" style="60" customWidth="1"/>
    <col min="12226" max="12226" width="5.42578125" style="60" customWidth="1"/>
    <col min="12227" max="12227" width="5.28515625" style="60" customWidth="1"/>
    <col min="12228" max="12228" width="5.85546875" style="60" customWidth="1"/>
    <col min="12229" max="12229" width="6.140625" style="60" customWidth="1"/>
    <col min="12230" max="12369" width="9.140625" style="60"/>
    <col min="12370" max="12370" width="18.5703125" style="60" customWidth="1"/>
    <col min="12371" max="12371" width="3.5703125" style="60" customWidth="1"/>
    <col min="12372" max="12372" width="3" style="60" customWidth="1"/>
    <col min="12373" max="12373" width="8.140625" style="60" customWidth="1"/>
    <col min="12374" max="12379" width="0" style="60" hidden="1" customWidth="1"/>
    <col min="12380" max="12380" width="7.5703125" style="60" customWidth="1"/>
    <col min="12381" max="12401" width="0" style="60" hidden="1" customWidth="1"/>
    <col min="12402" max="12402" width="7.85546875" style="60" customWidth="1"/>
    <col min="12403" max="12419" width="0" style="60" hidden="1" customWidth="1"/>
    <col min="12420" max="12420" width="7.5703125" style="60" customWidth="1"/>
    <col min="12421" max="12440" width="0" style="60" hidden="1" customWidth="1"/>
    <col min="12441" max="12441" width="7.5703125" style="60" customWidth="1"/>
    <col min="12442" max="12460" width="0" style="60" hidden="1" customWidth="1"/>
    <col min="12461" max="12461" width="8.28515625" style="60" customWidth="1"/>
    <col min="12462" max="12472" width="0" style="60" hidden="1" customWidth="1"/>
    <col min="12473" max="12475" width="8.140625" style="60" customWidth="1"/>
    <col min="12476" max="12476" width="7.42578125" style="60" customWidth="1"/>
    <col min="12477" max="12477" width="5.7109375" style="60" customWidth="1"/>
    <col min="12478" max="12478" width="6.42578125" style="60" customWidth="1"/>
    <col min="12479" max="12479" width="5.7109375" style="60" customWidth="1"/>
    <col min="12480" max="12480" width="5.42578125" style="60" customWidth="1"/>
    <col min="12481" max="12481" width="5.28515625" style="60" customWidth="1"/>
    <col min="12482" max="12482" width="5.42578125" style="60" customWidth="1"/>
    <col min="12483" max="12483" width="5.28515625" style="60" customWidth="1"/>
    <col min="12484" max="12484" width="5.85546875" style="60" customWidth="1"/>
    <col min="12485" max="12485" width="6.140625" style="60" customWidth="1"/>
    <col min="12486" max="12625" width="9.140625" style="60"/>
    <col min="12626" max="12626" width="18.5703125" style="60" customWidth="1"/>
    <col min="12627" max="12627" width="3.5703125" style="60" customWidth="1"/>
    <col min="12628" max="12628" width="3" style="60" customWidth="1"/>
    <col min="12629" max="12629" width="8.140625" style="60" customWidth="1"/>
    <col min="12630" max="12635" width="0" style="60" hidden="1" customWidth="1"/>
    <col min="12636" max="12636" width="7.5703125" style="60" customWidth="1"/>
    <col min="12637" max="12657" width="0" style="60" hidden="1" customWidth="1"/>
    <col min="12658" max="12658" width="7.85546875" style="60" customWidth="1"/>
    <col min="12659" max="12675" width="0" style="60" hidden="1" customWidth="1"/>
    <col min="12676" max="12676" width="7.5703125" style="60" customWidth="1"/>
    <col min="12677" max="12696" width="0" style="60" hidden="1" customWidth="1"/>
    <col min="12697" max="12697" width="7.5703125" style="60" customWidth="1"/>
    <col min="12698" max="12716" width="0" style="60" hidden="1" customWidth="1"/>
    <col min="12717" max="12717" width="8.28515625" style="60" customWidth="1"/>
    <col min="12718" max="12728" width="0" style="60" hidden="1" customWidth="1"/>
    <col min="12729" max="12731" width="8.140625" style="60" customWidth="1"/>
    <col min="12732" max="12732" width="7.42578125" style="60" customWidth="1"/>
    <col min="12733" max="12733" width="5.7109375" style="60" customWidth="1"/>
    <col min="12734" max="12734" width="6.42578125" style="60" customWidth="1"/>
    <col min="12735" max="12735" width="5.7109375" style="60" customWidth="1"/>
    <col min="12736" max="12736" width="5.42578125" style="60" customWidth="1"/>
    <col min="12737" max="12737" width="5.28515625" style="60" customWidth="1"/>
    <col min="12738" max="12738" width="5.42578125" style="60" customWidth="1"/>
    <col min="12739" max="12739" width="5.28515625" style="60" customWidth="1"/>
    <col min="12740" max="12740" width="5.85546875" style="60" customWidth="1"/>
    <col min="12741" max="12741" width="6.140625" style="60" customWidth="1"/>
    <col min="12742" max="12881" width="9.140625" style="60"/>
    <col min="12882" max="12882" width="18.5703125" style="60" customWidth="1"/>
    <col min="12883" max="12883" width="3.5703125" style="60" customWidth="1"/>
    <col min="12884" max="12884" width="3" style="60" customWidth="1"/>
    <col min="12885" max="12885" width="8.140625" style="60" customWidth="1"/>
    <col min="12886" max="12891" width="0" style="60" hidden="1" customWidth="1"/>
    <col min="12892" max="12892" width="7.5703125" style="60" customWidth="1"/>
    <col min="12893" max="12913" width="0" style="60" hidden="1" customWidth="1"/>
    <col min="12914" max="12914" width="7.85546875" style="60" customWidth="1"/>
    <col min="12915" max="12931" width="0" style="60" hidden="1" customWidth="1"/>
    <col min="12932" max="12932" width="7.5703125" style="60" customWidth="1"/>
    <col min="12933" max="12952" width="0" style="60" hidden="1" customWidth="1"/>
    <col min="12953" max="12953" width="7.5703125" style="60" customWidth="1"/>
    <col min="12954" max="12972" width="0" style="60" hidden="1" customWidth="1"/>
    <col min="12973" max="12973" width="8.28515625" style="60" customWidth="1"/>
    <col min="12974" max="12984" width="0" style="60" hidden="1" customWidth="1"/>
    <col min="12985" max="12987" width="8.140625" style="60" customWidth="1"/>
    <col min="12988" max="12988" width="7.42578125" style="60" customWidth="1"/>
    <col min="12989" max="12989" width="5.7109375" style="60" customWidth="1"/>
    <col min="12990" max="12990" width="6.42578125" style="60" customWidth="1"/>
    <col min="12991" max="12991" width="5.7109375" style="60" customWidth="1"/>
    <col min="12992" max="12992" width="5.42578125" style="60" customWidth="1"/>
    <col min="12993" max="12993" width="5.28515625" style="60" customWidth="1"/>
    <col min="12994" max="12994" width="5.42578125" style="60" customWidth="1"/>
    <col min="12995" max="12995" width="5.28515625" style="60" customWidth="1"/>
    <col min="12996" max="12996" width="5.85546875" style="60" customWidth="1"/>
    <col min="12997" max="12997" width="6.140625" style="60" customWidth="1"/>
    <col min="12998" max="13137" width="9.140625" style="60"/>
    <col min="13138" max="13138" width="18.5703125" style="60" customWidth="1"/>
    <col min="13139" max="13139" width="3.5703125" style="60" customWidth="1"/>
    <col min="13140" max="13140" width="3" style="60" customWidth="1"/>
    <col min="13141" max="13141" width="8.140625" style="60" customWidth="1"/>
    <col min="13142" max="13147" width="0" style="60" hidden="1" customWidth="1"/>
    <col min="13148" max="13148" width="7.5703125" style="60" customWidth="1"/>
    <col min="13149" max="13169" width="0" style="60" hidden="1" customWidth="1"/>
    <col min="13170" max="13170" width="7.85546875" style="60" customWidth="1"/>
    <col min="13171" max="13187" width="0" style="60" hidden="1" customWidth="1"/>
    <col min="13188" max="13188" width="7.5703125" style="60" customWidth="1"/>
    <col min="13189" max="13208" width="0" style="60" hidden="1" customWidth="1"/>
    <col min="13209" max="13209" width="7.5703125" style="60" customWidth="1"/>
    <col min="13210" max="13228" width="0" style="60" hidden="1" customWidth="1"/>
    <col min="13229" max="13229" width="8.28515625" style="60" customWidth="1"/>
    <col min="13230" max="13240" width="0" style="60" hidden="1" customWidth="1"/>
    <col min="13241" max="13243" width="8.140625" style="60" customWidth="1"/>
    <col min="13244" max="13244" width="7.42578125" style="60" customWidth="1"/>
    <col min="13245" max="13245" width="5.7109375" style="60" customWidth="1"/>
    <col min="13246" max="13246" width="6.42578125" style="60" customWidth="1"/>
    <col min="13247" max="13247" width="5.7109375" style="60" customWidth="1"/>
    <col min="13248" max="13248" width="5.42578125" style="60" customWidth="1"/>
    <col min="13249" max="13249" width="5.28515625" style="60" customWidth="1"/>
    <col min="13250" max="13250" width="5.42578125" style="60" customWidth="1"/>
    <col min="13251" max="13251" width="5.28515625" style="60" customWidth="1"/>
    <col min="13252" max="13252" width="5.85546875" style="60" customWidth="1"/>
    <col min="13253" max="13253" width="6.140625" style="60" customWidth="1"/>
    <col min="13254" max="13393" width="9.140625" style="60"/>
    <col min="13394" max="13394" width="18.5703125" style="60" customWidth="1"/>
    <col min="13395" max="13395" width="3.5703125" style="60" customWidth="1"/>
    <col min="13396" max="13396" width="3" style="60" customWidth="1"/>
    <col min="13397" max="13397" width="8.140625" style="60" customWidth="1"/>
    <col min="13398" max="13403" width="0" style="60" hidden="1" customWidth="1"/>
    <col min="13404" max="13404" width="7.5703125" style="60" customWidth="1"/>
    <col min="13405" max="13425" width="0" style="60" hidden="1" customWidth="1"/>
    <col min="13426" max="13426" width="7.85546875" style="60" customWidth="1"/>
    <col min="13427" max="13443" width="0" style="60" hidden="1" customWidth="1"/>
    <col min="13444" max="13444" width="7.5703125" style="60" customWidth="1"/>
    <col min="13445" max="13464" width="0" style="60" hidden="1" customWidth="1"/>
    <col min="13465" max="13465" width="7.5703125" style="60" customWidth="1"/>
    <col min="13466" max="13484" width="0" style="60" hidden="1" customWidth="1"/>
    <col min="13485" max="13485" width="8.28515625" style="60" customWidth="1"/>
    <col min="13486" max="13496" width="0" style="60" hidden="1" customWidth="1"/>
    <col min="13497" max="13499" width="8.140625" style="60" customWidth="1"/>
    <col min="13500" max="13500" width="7.42578125" style="60" customWidth="1"/>
    <col min="13501" max="13501" width="5.7109375" style="60" customWidth="1"/>
    <col min="13502" max="13502" width="6.42578125" style="60" customWidth="1"/>
    <col min="13503" max="13503" width="5.7109375" style="60" customWidth="1"/>
    <col min="13504" max="13504" width="5.42578125" style="60" customWidth="1"/>
    <col min="13505" max="13505" width="5.28515625" style="60" customWidth="1"/>
    <col min="13506" max="13506" width="5.42578125" style="60" customWidth="1"/>
    <col min="13507" max="13507" width="5.28515625" style="60" customWidth="1"/>
    <col min="13508" max="13508" width="5.85546875" style="60" customWidth="1"/>
    <col min="13509" max="13509" width="6.140625" style="60" customWidth="1"/>
    <col min="13510" max="13649" width="9.140625" style="60"/>
    <col min="13650" max="13650" width="18.5703125" style="60" customWidth="1"/>
    <col min="13651" max="13651" width="3.5703125" style="60" customWidth="1"/>
    <col min="13652" max="13652" width="3" style="60" customWidth="1"/>
    <col min="13653" max="13653" width="8.140625" style="60" customWidth="1"/>
    <col min="13654" max="13659" width="0" style="60" hidden="1" customWidth="1"/>
    <col min="13660" max="13660" width="7.5703125" style="60" customWidth="1"/>
    <col min="13661" max="13681" width="0" style="60" hidden="1" customWidth="1"/>
    <col min="13682" max="13682" width="7.85546875" style="60" customWidth="1"/>
    <col min="13683" max="13699" width="0" style="60" hidden="1" customWidth="1"/>
    <col min="13700" max="13700" width="7.5703125" style="60" customWidth="1"/>
    <col min="13701" max="13720" width="0" style="60" hidden="1" customWidth="1"/>
    <col min="13721" max="13721" width="7.5703125" style="60" customWidth="1"/>
    <col min="13722" max="13740" width="0" style="60" hidden="1" customWidth="1"/>
    <col min="13741" max="13741" width="8.28515625" style="60" customWidth="1"/>
    <col min="13742" max="13752" width="0" style="60" hidden="1" customWidth="1"/>
    <col min="13753" max="13755" width="8.140625" style="60" customWidth="1"/>
    <col min="13756" max="13756" width="7.42578125" style="60" customWidth="1"/>
    <col min="13757" max="13757" width="5.7109375" style="60" customWidth="1"/>
    <col min="13758" max="13758" width="6.42578125" style="60" customWidth="1"/>
    <col min="13759" max="13759" width="5.7109375" style="60" customWidth="1"/>
    <col min="13760" max="13760" width="5.42578125" style="60" customWidth="1"/>
    <col min="13761" max="13761" width="5.28515625" style="60" customWidth="1"/>
    <col min="13762" max="13762" width="5.42578125" style="60" customWidth="1"/>
    <col min="13763" max="13763" width="5.28515625" style="60" customWidth="1"/>
    <col min="13764" max="13764" width="5.85546875" style="60" customWidth="1"/>
    <col min="13765" max="13765" width="6.140625" style="60" customWidth="1"/>
    <col min="13766" max="13905" width="9.140625" style="60"/>
    <col min="13906" max="13906" width="18.5703125" style="60" customWidth="1"/>
    <col min="13907" max="13907" width="3.5703125" style="60" customWidth="1"/>
    <col min="13908" max="13908" width="3" style="60" customWidth="1"/>
    <col min="13909" max="13909" width="8.140625" style="60" customWidth="1"/>
    <col min="13910" max="13915" width="0" style="60" hidden="1" customWidth="1"/>
    <col min="13916" max="13916" width="7.5703125" style="60" customWidth="1"/>
    <col min="13917" max="13937" width="0" style="60" hidden="1" customWidth="1"/>
    <col min="13938" max="13938" width="7.85546875" style="60" customWidth="1"/>
    <col min="13939" max="13955" width="0" style="60" hidden="1" customWidth="1"/>
    <col min="13956" max="13956" width="7.5703125" style="60" customWidth="1"/>
    <col min="13957" max="13976" width="0" style="60" hidden="1" customWidth="1"/>
    <col min="13977" max="13977" width="7.5703125" style="60" customWidth="1"/>
    <col min="13978" max="13996" width="0" style="60" hidden="1" customWidth="1"/>
    <col min="13997" max="13997" width="8.28515625" style="60" customWidth="1"/>
    <col min="13998" max="14008" width="0" style="60" hidden="1" customWidth="1"/>
    <col min="14009" max="14011" width="8.140625" style="60" customWidth="1"/>
    <col min="14012" max="14012" width="7.42578125" style="60" customWidth="1"/>
    <col min="14013" max="14013" width="5.7109375" style="60" customWidth="1"/>
    <col min="14014" max="14014" width="6.42578125" style="60" customWidth="1"/>
    <col min="14015" max="14015" width="5.7109375" style="60" customWidth="1"/>
    <col min="14016" max="14016" width="5.42578125" style="60" customWidth="1"/>
    <col min="14017" max="14017" width="5.28515625" style="60" customWidth="1"/>
    <col min="14018" max="14018" width="5.42578125" style="60" customWidth="1"/>
    <col min="14019" max="14019" width="5.28515625" style="60" customWidth="1"/>
    <col min="14020" max="14020" width="5.85546875" style="60" customWidth="1"/>
    <col min="14021" max="14021" width="6.140625" style="60" customWidth="1"/>
    <col min="14022" max="14161" width="9.140625" style="60"/>
    <col min="14162" max="14162" width="18.5703125" style="60" customWidth="1"/>
    <col min="14163" max="14163" width="3.5703125" style="60" customWidth="1"/>
    <col min="14164" max="14164" width="3" style="60" customWidth="1"/>
    <col min="14165" max="14165" width="8.140625" style="60" customWidth="1"/>
    <col min="14166" max="14171" width="0" style="60" hidden="1" customWidth="1"/>
    <col min="14172" max="14172" width="7.5703125" style="60" customWidth="1"/>
    <col min="14173" max="14193" width="0" style="60" hidden="1" customWidth="1"/>
    <col min="14194" max="14194" width="7.85546875" style="60" customWidth="1"/>
    <col min="14195" max="14211" width="0" style="60" hidden="1" customWidth="1"/>
    <col min="14212" max="14212" width="7.5703125" style="60" customWidth="1"/>
    <col min="14213" max="14232" width="0" style="60" hidden="1" customWidth="1"/>
    <col min="14233" max="14233" width="7.5703125" style="60" customWidth="1"/>
    <col min="14234" max="14252" width="0" style="60" hidden="1" customWidth="1"/>
    <col min="14253" max="14253" width="8.28515625" style="60" customWidth="1"/>
    <col min="14254" max="14264" width="0" style="60" hidden="1" customWidth="1"/>
    <col min="14265" max="14267" width="8.140625" style="60" customWidth="1"/>
    <col min="14268" max="14268" width="7.42578125" style="60" customWidth="1"/>
    <col min="14269" max="14269" width="5.7109375" style="60" customWidth="1"/>
    <col min="14270" max="14270" width="6.42578125" style="60" customWidth="1"/>
    <col min="14271" max="14271" width="5.7109375" style="60" customWidth="1"/>
    <col min="14272" max="14272" width="5.42578125" style="60" customWidth="1"/>
    <col min="14273" max="14273" width="5.28515625" style="60" customWidth="1"/>
    <col min="14274" max="14274" width="5.42578125" style="60" customWidth="1"/>
    <col min="14275" max="14275" width="5.28515625" style="60" customWidth="1"/>
    <col min="14276" max="14276" width="5.85546875" style="60" customWidth="1"/>
    <col min="14277" max="14277" width="6.140625" style="60" customWidth="1"/>
    <col min="14278" max="14417" width="9.140625" style="60"/>
    <col min="14418" max="14418" width="18.5703125" style="60" customWidth="1"/>
    <col min="14419" max="14419" width="3.5703125" style="60" customWidth="1"/>
    <col min="14420" max="14420" width="3" style="60" customWidth="1"/>
    <col min="14421" max="14421" width="8.140625" style="60" customWidth="1"/>
    <col min="14422" max="14427" width="0" style="60" hidden="1" customWidth="1"/>
    <col min="14428" max="14428" width="7.5703125" style="60" customWidth="1"/>
    <col min="14429" max="14449" width="0" style="60" hidden="1" customWidth="1"/>
    <col min="14450" max="14450" width="7.85546875" style="60" customWidth="1"/>
    <col min="14451" max="14467" width="0" style="60" hidden="1" customWidth="1"/>
    <col min="14468" max="14468" width="7.5703125" style="60" customWidth="1"/>
    <col min="14469" max="14488" width="0" style="60" hidden="1" customWidth="1"/>
    <col min="14489" max="14489" width="7.5703125" style="60" customWidth="1"/>
    <col min="14490" max="14508" width="0" style="60" hidden="1" customWidth="1"/>
    <col min="14509" max="14509" width="8.28515625" style="60" customWidth="1"/>
    <col min="14510" max="14520" width="0" style="60" hidden="1" customWidth="1"/>
    <col min="14521" max="14523" width="8.140625" style="60" customWidth="1"/>
    <col min="14524" max="14524" width="7.42578125" style="60" customWidth="1"/>
    <col min="14525" max="14525" width="5.7109375" style="60" customWidth="1"/>
    <col min="14526" max="14526" width="6.42578125" style="60" customWidth="1"/>
    <col min="14527" max="14527" width="5.7109375" style="60" customWidth="1"/>
    <col min="14528" max="14528" width="5.42578125" style="60" customWidth="1"/>
    <col min="14529" max="14529" width="5.28515625" style="60" customWidth="1"/>
    <col min="14530" max="14530" width="5.42578125" style="60" customWidth="1"/>
    <col min="14531" max="14531" width="5.28515625" style="60" customWidth="1"/>
    <col min="14532" max="14532" width="5.85546875" style="60" customWidth="1"/>
    <col min="14533" max="14533" width="6.140625" style="60" customWidth="1"/>
    <col min="14534" max="14673" width="9.140625" style="60"/>
    <col min="14674" max="14674" width="18.5703125" style="60" customWidth="1"/>
    <col min="14675" max="14675" width="3.5703125" style="60" customWidth="1"/>
    <col min="14676" max="14676" width="3" style="60" customWidth="1"/>
    <col min="14677" max="14677" width="8.140625" style="60" customWidth="1"/>
    <col min="14678" max="14683" width="0" style="60" hidden="1" customWidth="1"/>
    <col min="14684" max="14684" width="7.5703125" style="60" customWidth="1"/>
    <col min="14685" max="14705" width="0" style="60" hidden="1" customWidth="1"/>
    <col min="14706" max="14706" width="7.85546875" style="60" customWidth="1"/>
    <col min="14707" max="14723" width="0" style="60" hidden="1" customWidth="1"/>
    <col min="14724" max="14724" width="7.5703125" style="60" customWidth="1"/>
    <col min="14725" max="14744" width="0" style="60" hidden="1" customWidth="1"/>
    <col min="14745" max="14745" width="7.5703125" style="60" customWidth="1"/>
    <col min="14746" max="14764" width="0" style="60" hidden="1" customWidth="1"/>
    <col min="14765" max="14765" width="8.28515625" style="60" customWidth="1"/>
    <col min="14766" max="14776" width="0" style="60" hidden="1" customWidth="1"/>
    <col min="14777" max="14779" width="8.140625" style="60" customWidth="1"/>
    <col min="14780" max="14780" width="7.42578125" style="60" customWidth="1"/>
    <col min="14781" max="14781" width="5.7109375" style="60" customWidth="1"/>
    <col min="14782" max="14782" width="6.42578125" style="60" customWidth="1"/>
    <col min="14783" max="14783" width="5.7109375" style="60" customWidth="1"/>
    <col min="14784" max="14784" width="5.42578125" style="60" customWidth="1"/>
    <col min="14785" max="14785" width="5.28515625" style="60" customWidth="1"/>
    <col min="14786" max="14786" width="5.42578125" style="60" customWidth="1"/>
    <col min="14787" max="14787" width="5.28515625" style="60" customWidth="1"/>
    <col min="14788" max="14788" width="5.85546875" style="60" customWidth="1"/>
    <col min="14789" max="14789" width="6.140625" style="60" customWidth="1"/>
    <col min="14790" max="14929" width="9.140625" style="60"/>
    <col min="14930" max="14930" width="18.5703125" style="60" customWidth="1"/>
    <col min="14931" max="14931" width="3.5703125" style="60" customWidth="1"/>
    <col min="14932" max="14932" width="3" style="60" customWidth="1"/>
    <col min="14933" max="14933" width="8.140625" style="60" customWidth="1"/>
    <col min="14934" max="14939" width="0" style="60" hidden="1" customWidth="1"/>
    <col min="14940" max="14940" width="7.5703125" style="60" customWidth="1"/>
    <col min="14941" max="14961" width="0" style="60" hidden="1" customWidth="1"/>
    <col min="14962" max="14962" width="7.85546875" style="60" customWidth="1"/>
    <col min="14963" max="14979" width="0" style="60" hidden="1" customWidth="1"/>
    <col min="14980" max="14980" width="7.5703125" style="60" customWidth="1"/>
    <col min="14981" max="15000" width="0" style="60" hidden="1" customWidth="1"/>
    <col min="15001" max="15001" width="7.5703125" style="60" customWidth="1"/>
    <col min="15002" max="15020" width="0" style="60" hidden="1" customWidth="1"/>
    <col min="15021" max="15021" width="8.28515625" style="60" customWidth="1"/>
    <col min="15022" max="15032" width="0" style="60" hidden="1" customWidth="1"/>
    <col min="15033" max="15035" width="8.140625" style="60" customWidth="1"/>
    <col min="15036" max="15036" width="7.42578125" style="60" customWidth="1"/>
    <col min="15037" max="15037" width="5.7109375" style="60" customWidth="1"/>
    <col min="15038" max="15038" width="6.42578125" style="60" customWidth="1"/>
    <col min="15039" max="15039" width="5.7109375" style="60" customWidth="1"/>
    <col min="15040" max="15040" width="5.42578125" style="60" customWidth="1"/>
    <col min="15041" max="15041" width="5.28515625" style="60" customWidth="1"/>
    <col min="15042" max="15042" width="5.42578125" style="60" customWidth="1"/>
    <col min="15043" max="15043" width="5.28515625" style="60" customWidth="1"/>
    <col min="15044" max="15044" width="5.85546875" style="60" customWidth="1"/>
    <col min="15045" max="15045" width="6.140625" style="60" customWidth="1"/>
    <col min="15046" max="15185" width="9.140625" style="60"/>
    <col min="15186" max="15186" width="18.5703125" style="60" customWidth="1"/>
    <col min="15187" max="15187" width="3.5703125" style="60" customWidth="1"/>
    <col min="15188" max="15188" width="3" style="60" customWidth="1"/>
    <col min="15189" max="15189" width="8.140625" style="60" customWidth="1"/>
    <col min="15190" max="15195" width="0" style="60" hidden="1" customWidth="1"/>
    <col min="15196" max="15196" width="7.5703125" style="60" customWidth="1"/>
    <col min="15197" max="15217" width="0" style="60" hidden="1" customWidth="1"/>
    <col min="15218" max="15218" width="7.85546875" style="60" customWidth="1"/>
    <col min="15219" max="15235" width="0" style="60" hidden="1" customWidth="1"/>
    <col min="15236" max="15236" width="7.5703125" style="60" customWidth="1"/>
    <col min="15237" max="15256" width="0" style="60" hidden="1" customWidth="1"/>
    <col min="15257" max="15257" width="7.5703125" style="60" customWidth="1"/>
    <col min="15258" max="15276" width="0" style="60" hidden="1" customWidth="1"/>
    <col min="15277" max="15277" width="8.28515625" style="60" customWidth="1"/>
    <col min="15278" max="15288" width="0" style="60" hidden="1" customWidth="1"/>
    <col min="15289" max="15291" width="8.140625" style="60" customWidth="1"/>
    <col min="15292" max="15292" width="7.42578125" style="60" customWidth="1"/>
    <col min="15293" max="15293" width="5.7109375" style="60" customWidth="1"/>
    <col min="15294" max="15294" width="6.42578125" style="60" customWidth="1"/>
    <col min="15295" max="15295" width="5.7109375" style="60" customWidth="1"/>
    <col min="15296" max="15296" width="5.42578125" style="60" customWidth="1"/>
    <col min="15297" max="15297" width="5.28515625" style="60" customWidth="1"/>
    <col min="15298" max="15298" width="5.42578125" style="60" customWidth="1"/>
    <col min="15299" max="15299" width="5.28515625" style="60" customWidth="1"/>
    <col min="15300" max="15300" width="5.85546875" style="60" customWidth="1"/>
    <col min="15301" max="15301" width="6.140625" style="60" customWidth="1"/>
    <col min="15302" max="15441" width="9.140625" style="60"/>
    <col min="15442" max="15442" width="18.5703125" style="60" customWidth="1"/>
    <col min="15443" max="15443" width="3.5703125" style="60" customWidth="1"/>
    <col min="15444" max="15444" width="3" style="60" customWidth="1"/>
    <col min="15445" max="15445" width="8.140625" style="60" customWidth="1"/>
    <col min="15446" max="15451" width="0" style="60" hidden="1" customWidth="1"/>
    <col min="15452" max="15452" width="7.5703125" style="60" customWidth="1"/>
    <col min="15453" max="15473" width="0" style="60" hidden="1" customWidth="1"/>
    <col min="15474" max="15474" width="7.85546875" style="60" customWidth="1"/>
    <col min="15475" max="15491" width="0" style="60" hidden="1" customWidth="1"/>
    <col min="15492" max="15492" width="7.5703125" style="60" customWidth="1"/>
    <col min="15493" max="15512" width="0" style="60" hidden="1" customWidth="1"/>
    <col min="15513" max="15513" width="7.5703125" style="60" customWidth="1"/>
    <col min="15514" max="15532" width="0" style="60" hidden="1" customWidth="1"/>
    <col min="15533" max="15533" width="8.28515625" style="60" customWidth="1"/>
    <col min="15534" max="15544" width="0" style="60" hidden="1" customWidth="1"/>
    <col min="15545" max="15547" width="8.140625" style="60" customWidth="1"/>
    <col min="15548" max="15548" width="7.42578125" style="60" customWidth="1"/>
    <col min="15549" max="15549" width="5.7109375" style="60" customWidth="1"/>
    <col min="15550" max="15550" width="6.42578125" style="60" customWidth="1"/>
    <col min="15551" max="15551" width="5.7109375" style="60" customWidth="1"/>
    <col min="15552" max="15552" width="5.42578125" style="60" customWidth="1"/>
    <col min="15553" max="15553" width="5.28515625" style="60" customWidth="1"/>
    <col min="15554" max="15554" width="5.42578125" style="60" customWidth="1"/>
    <col min="15555" max="15555" width="5.28515625" style="60" customWidth="1"/>
    <col min="15556" max="15556" width="5.85546875" style="60" customWidth="1"/>
    <col min="15557" max="15557" width="6.140625" style="60" customWidth="1"/>
    <col min="15558" max="15697" width="9.140625" style="60"/>
    <col min="15698" max="15698" width="18.5703125" style="60" customWidth="1"/>
    <col min="15699" max="15699" width="3.5703125" style="60" customWidth="1"/>
    <col min="15700" max="15700" width="3" style="60" customWidth="1"/>
    <col min="15701" max="15701" width="8.140625" style="60" customWidth="1"/>
    <col min="15702" max="15707" width="0" style="60" hidden="1" customWidth="1"/>
    <col min="15708" max="15708" width="7.5703125" style="60" customWidth="1"/>
    <col min="15709" max="15729" width="0" style="60" hidden="1" customWidth="1"/>
    <col min="15730" max="15730" width="7.85546875" style="60" customWidth="1"/>
    <col min="15731" max="15747" width="0" style="60" hidden="1" customWidth="1"/>
    <col min="15748" max="15748" width="7.5703125" style="60" customWidth="1"/>
    <col min="15749" max="15768" width="0" style="60" hidden="1" customWidth="1"/>
    <col min="15769" max="15769" width="7.5703125" style="60" customWidth="1"/>
    <col min="15770" max="15788" width="0" style="60" hidden="1" customWidth="1"/>
    <col min="15789" max="15789" width="8.28515625" style="60" customWidth="1"/>
    <col min="15790" max="15800" width="0" style="60" hidden="1" customWidth="1"/>
    <col min="15801" max="15803" width="8.140625" style="60" customWidth="1"/>
    <col min="15804" max="15804" width="7.42578125" style="60" customWidth="1"/>
    <col min="15805" max="15805" width="5.7109375" style="60" customWidth="1"/>
    <col min="15806" max="15806" width="6.42578125" style="60" customWidth="1"/>
    <col min="15807" max="15807" width="5.7109375" style="60" customWidth="1"/>
    <col min="15808" max="15808" width="5.42578125" style="60" customWidth="1"/>
    <col min="15809" max="15809" width="5.28515625" style="60" customWidth="1"/>
    <col min="15810" max="15810" width="5.42578125" style="60" customWidth="1"/>
    <col min="15811" max="15811" width="5.28515625" style="60" customWidth="1"/>
    <col min="15812" max="15812" width="5.85546875" style="60" customWidth="1"/>
    <col min="15813" max="15813" width="6.140625" style="60" customWidth="1"/>
    <col min="15814" max="15953" width="9.140625" style="60"/>
    <col min="15954" max="15954" width="18.5703125" style="60" customWidth="1"/>
    <col min="15955" max="15955" width="3.5703125" style="60" customWidth="1"/>
    <col min="15956" max="15956" width="3" style="60" customWidth="1"/>
    <col min="15957" max="15957" width="8.140625" style="60" customWidth="1"/>
    <col min="15958" max="15963" width="0" style="60" hidden="1" customWidth="1"/>
    <col min="15964" max="15964" width="7.5703125" style="60" customWidth="1"/>
    <col min="15965" max="15985" width="0" style="60" hidden="1" customWidth="1"/>
    <col min="15986" max="15986" width="7.85546875" style="60" customWidth="1"/>
    <col min="15987" max="16003" width="0" style="60" hidden="1" customWidth="1"/>
    <col min="16004" max="16004" width="7.5703125" style="60" customWidth="1"/>
    <col min="16005" max="16024" width="0" style="60" hidden="1" customWidth="1"/>
    <col min="16025" max="16025" width="7.5703125" style="60" customWidth="1"/>
    <col min="16026" max="16044" width="0" style="60" hidden="1" customWidth="1"/>
    <col min="16045" max="16045" width="8.28515625" style="60" customWidth="1"/>
    <col min="16046" max="16056" width="0" style="60" hidden="1" customWidth="1"/>
    <col min="16057" max="16059" width="8.140625" style="60" customWidth="1"/>
    <col min="16060" max="16060" width="7.42578125" style="60" customWidth="1"/>
    <col min="16061" max="16061" width="5.7109375" style="60" customWidth="1"/>
    <col min="16062" max="16062" width="6.42578125" style="60" customWidth="1"/>
    <col min="16063" max="16063" width="5.7109375" style="60" customWidth="1"/>
    <col min="16064" max="16064" width="5.42578125" style="60" customWidth="1"/>
    <col min="16065" max="16065" width="5.28515625" style="60" customWidth="1"/>
    <col min="16066" max="16066" width="5.42578125" style="60" customWidth="1"/>
    <col min="16067" max="16067" width="5.28515625" style="60" customWidth="1"/>
    <col min="16068" max="16068" width="5.85546875" style="60" customWidth="1"/>
    <col min="16069" max="16069" width="6.140625" style="60" customWidth="1"/>
    <col min="16070" max="16384" width="9.140625" style="60"/>
  </cols>
  <sheetData>
    <row r="1" spans="1:37" ht="17.25" customHeight="1" x14ac:dyDescent="0.2">
      <c r="A1" s="116"/>
      <c r="B1" s="116"/>
      <c r="C1" s="116"/>
      <c r="D1" s="116"/>
      <c r="E1" s="117"/>
    </row>
    <row r="2" spans="1:37" ht="18.75" customHeight="1" x14ac:dyDescent="0.2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119" t="s">
        <v>265</v>
      </c>
      <c r="AH2" s="119"/>
      <c r="AI2" s="119"/>
      <c r="AJ2" s="119"/>
      <c r="AK2" s="119"/>
    </row>
    <row r="3" spans="1:37" ht="24" customHeight="1" x14ac:dyDescent="0.2">
      <c r="A3" s="66" t="s">
        <v>266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</row>
    <row r="4" spans="1:37" s="76" customFormat="1" ht="64.5" customHeight="1" x14ac:dyDescent="0.25">
      <c r="A4" s="67" t="s">
        <v>267</v>
      </c>
      <c r="B4" s="67" t="s">
        <v>268</v>
      </c>
      <c r="C4" s="67" t="s">
        <v>269</v>
      </c>
      <c r="D4" s="68" t="s">
        <v>270</v>
      </c>
      <c r="E4" s="69" t="s">
        <v>271</v>
      </c>
      <c r="F4" s="69" t="s">
        <v>272</v>
      </c>
      <c r="G4" s="69" t="s">
        <v>273</v>
      </c>
      <c r="H4" s="69" t="s">
        <v>274</v>
      </c>
      <c r="I4" s="69" t="s">
        <v>275</v>
      </c>
      <c r="J4" s="70" t="s">
        <v>276</v>
      </c>
      <c r="K4" s="70" t="s">
        <v>277</v>
      </c>
      <c r="L4" s="70" t="s">
        <v>278</v>
      </c>
      <c r="M4" s="71" t="s">
        <v>279</v>
      </c>
      <c r="N4" s="71" t="s">
        <v>280</v>
      </c>
      <c r="O4" s="72" t="s">
        <v>281</v>
      </c>
      <c r="P4" s="72" t="s">
        <v>47</v>
      </c>
      <c r="Q4" s="72" t="s">
        <v>282</v>
      </c>
      <c r="R4" s="72" t="s">
        <v>283</v>
      </c>
      <c r="S4" s="70" t="s">
        <v>284</v>
      </c>
      <c r="T4" s="118" t="s">
        <v>285</v>
      </c>
      <c r="U4" s="73" t="s">
        <v>286</v>
      </c>
      <c r="V4" s="74" t="s">
        <v>287</v>
      </c>
      <c r="W4" s="74" t="s">
        <v>55</v>
      </c>
      <c r="X4" s="74" t="s">
        <v>56</v>
      </c>
      <c r="Y4" s="74" t="s">
        <v>57</v>
      </c>
      <c r="Z4" s="74" t="s">
        <v>288</v>
      </c>
      <c r="AA4" s="74" t="s">
        <v>59</v>
      </c>
      <c r="AB4" s="72" t="s">
        <v>289</v>
      </c>
      <c r="AC4" s="72" t="s">
        <v>290</v>
      </c>
      <c r="AD4" s="72" t="s">
        <v>291</v>
      </c>
      <c r="AE4" s="75" t="s">
        <v>292</v>
      </c>
      <c r="AF4" s="72" t="s">
        <v>293</v>
      </c>
      <c r="AG4" s="72" t="s">
        <v>294</v>
      </c>
      <c r="AH4" s="72" t="s">
        <v>295</v>
      </c>
      <c r="AI4" s="75" t="s">
        <v>296</v>
      </c>
      <c r="AJ4" s="75" t="s">
        <v>297</v>
      </c>
      <c r="AK4" s="75" t="s">
        <v>298</v>
      </c>
    </row>
    <row r="5" spans="1:37" s="80" customFormat="1" ht="15" customHeight="1" x14ac:dyDescent="0.15">
      <c r="A5" s="77" t="s">
        <v>299</v>
      </c>
      <c r="B5" s="78" t="s">
        <v>300</v>
      </c>
      <c r="C5" s="78"/>
      <c r="D5" s="78" t="s">
        <v>301</v>
      </c>
      <c r="E5" s="78" t="s">
        <v>302</v>
      </c>
      <c r="F5" s="78" t="s">
        <v>303</v>
      </c>
      <c r="G5" s="78" t="s">
        <v>304</v>
      </c>
      <c r="H5" s="79">
        <f>H6+H7+H9+H10+H11</f>
        <v>20717.100000000002</v>
      </c>
      <c r="I5" s="79">
        <f>I6+I7+I9+I10+I11</f>
        <v>20717.699999999997</v>
      </c>
      <c r="J5" s="79">
        <f>J6+J7+J9+J10+J11</f>
        <v>20301.7</v>
      </c>
      <c r="K5" s="79">
        <f>K6+K7+K9+K10+K11</f>
        <v>27987.5</v>
      </c>
      <c r="L5" s="79">
        <f t="shared" ref="L5:R5" si="0">L6+L7+L9+L10+L11</f>
        <v>25210.3</v>
      </c>
      <c r="M5" s="79">
        <f t="shared" si="0"/>
        <v>30634.2</v>
      </c>
      <c r="N5" s="79">
        <f t="shared" si="0"/>
        <v>30375.9</v>
      </c>
      <c r="O5" s="79">
        <f t="shared" si="0"/>
        <v>24911.300000000003</v>
      </c>
      <c r="P5" s="79">
        <f t="shared" si="0"/>
        <v>25590.5</v>
      </c>
      <c r="Q5" s="79">
        <f t="shared" si="0"/>
        <v>27706.300000000003</v>
      </c>
      <c r="R5" s="79">
        <f t="shared" si="0"/>
        <v>30004.7</v>
      </c>
      <c r="S5" s="79">
        <f>S6+S7+S9+S10+S11</f>
        <v>31531</v>
      </c>
      <c r="T5" s="79">
        <f t="shared" ref="T5:U5" si="1">T6+T7+T9+T10+T11</f>
        <v>31531</v>
      </c>
      <c r="U5" s="79">
        <f t="shared" si="1"/>
        <v>31437.599999999999</v>
      </c>
      <c r="V5" s="79">
        <f>V6+V7+V9+V10+V11</f>
        <v>28717.4</v>
      </c>
      <c r="W5" s="79">
        <f>W6+W7+W9+W10+W11</f>
        <v>30860.1</v>
      </c>
      <c r="X5" s="79">
        <f>X6+X7+X9+X10+X11+X8</f>
        <v>32574.500000000004</v>
      </c>
      <c r="Y5" s="79">
        <f>Y6+Y7+Y9+Y10+Y11+Y8</f>
        <v>33501.399999999994</v>
      </c>
      <c r="Z5" s="79">
        <f>Z6+Z7+Z9+Z10+Z11+Z8</f>
        <v>35381.799999999996</v>
      </c>
      <c r="AA5" s="79">
        <f>AA6+AA7+AA9+AA10+AA8+AA11</f>
        <v>36562.800000000003</v>
      </c>
      <c r="AB5" s="79">
        <f>AB6+AB7+AB9+AB10+AB8+AB11</f>
        <v>36783.1</v>
      </c>
      <c r="AC5" s="79">
        <f>AB5/Z5*100</f>
        <v>103.9605107710744</v>
      </c>
      <c r="AD5" s="79">
        <f>AB5/V5*100</f>
        <v>128.08645629478988</v>
      </c>
      <c r="AE5" s="79">
        <f>AB5/$AB$47*100</f>
        <v>34.508894813969761</v>
      </c>
      <c r="AF5" s="79">
        <f>AF6+AF7+AF9+AF10+AF8+AF11</f>
        <v>30982.100000000002</v>
      </c>
      <c r="AG5" s="79">
        <f>AG6+AG7+AG9+AG10+AG8+AG11</f>
        <v>32413.200000000001</v>
      </c>
      <c r="AH5" s="79">
        <f>AH6+AH7+AH9+AH10+AH8+AH11</f>
        <v>33844.400000000001</v>
      </c>
      <c r="AI5" s="79">
        <f>AF5/$AF$48*100</f>
        <v>42.884826472180052</v>
      </c>
      <c r="AJ5" s="99">
        <f>AG5/$AG$48*100</f>
        <v>52.174920843923701</v>
      </c>
      <c r="AK5" s="99">
        <f>AH5/$AH$48*100</f>
        <v>54.412568569572798</v>
      </c>
    </row>
    <row r="6" spans="1:37" s="88" customFormat="1" ht="23.25" customHeight="1" x14ac:dyDescent="0.2">
      <c r="A6" s="81" t="s">
        <v>305</v>
      </c>
      <c r="B6" s="82" t="s">
        <v>300</v>
      </c>
      <c r="C6" s="82" t="s">
        <v>306</v>
      </c>
      <c r="D6" s="82" t="s">
        <v>307</v>
      </c>
      <c r="E6" s="83">
        <v>3822.9</v>
      </c>
      <c r="F6" s="84">
        <f>1296.842+299.744+1712.919+518.527</f>
        <v>3828.0320000000002</v>
      </c>
      <c r="G6" s="85">
        <v>5215</v>
      </c>
      <c r="H6" s="85">
        <v>5027</v>
      </c>
      <c r="I6" s="85">
        <v>5851.4</v>
      </c>
      <c r="J6" s="84">
        <v>5931.2</v>
      </c>
      <c r="K6" s="86">
        <v>7495.4</v>
      </c>
      <c r="L6" s="86">
        <v>6894.7</v>
      </c>
      <c r="M6" s="87">
        <v>6961.3</v>
      </c>
      <c r="N6" s="87">
        <v>7646.1</v>
      </c>
      <c r="O6" s="87">
        <v>7497</v>
      </c>
      <c r="P6" s="87">
        <v>7497</v>
      </c>
      <c r="Q6" s="87">
        <v>7497</v>
      </c>
      <c r="R6" s="87">
        <v>7603.1</v>
      </c>
      <c r="S6" s="87">
        <v>8297.5</v>
      </c>
      <c r="T6" s="87">
        <v>8297.5</v>
      </c>
      <c r="U6" s="87">
        <v>8297.5</v>
      </c>
      <c r="V6" s="87">
        <v>7603.1</v>
      </c>
      <c r="W6" s="87">
        <v>7603.1</v>
      </c>
      <c r="X6" s="87">
        <v>7603.1</v>
      </c>
      <c r="Y6" s="87">
        <v>7603.1</v>
      </c>
      <c r="Z6" s="87">
        <v>10049</v>
      </c>
      <c r="AA6" s="87">
        <v>10049</v>
      </c>
      <c r="AB6" s="87">
        <v>10435.4</v>
      </c>
      <c r="AC6" s="87">
        <f t="shared" ref="AC6:AC47" si="2">AB6/Z6*100</f>
        <v>103.84515872226092</v>
      </c>
      <c r="AD6" s="87">
        <f t="shared" ref="AD6:AD47" si="3">AB6/V6*100</f>
        <v>137.2519104049664</v>
      </c>
      <c r="AE6" s="87">
        <f t="shared" ref="AE6:AE47" si="4">AB6/$AB$47*100</f>
        <v>9.7902058538214565</v>
      </c>
      <c r="AF6" s="87">
        <v>9128</v>
      </c>
      <c r="AG6" s="87">
        <v>9128</v>
      </c>
      <c r="AH6" s="87">
        <v>9128</v>
      </c>
      <c r="AI6" s="87">
        <f>AF6/$AF$48*100</f>
        <v>12.634801902971699</v>
      </c>
      <c r="AJ6" s="84">
        <f>AG6/$AG$48*100</f>
        <v>14.693170605288447</v>
      </c>
      <c r="AK6" s="84">
        <f>AH6/$AH$48*100</f>
        <v>14.67533553270439</v>
      </c>
    </row>
    <row r="7" spans="1:37" s="88" customFormat="1" ht="18" customHeight="1" x14ac:dyDescent="0.2">
      <c r="A7" s="81" t="s">
        <v>308</v>
      </c>
      <c r="B7" s="82" t="s">
        <v>300</v>
      </c>
      <c r="C7" s="82" t="s">
        <v>309</v>
      </c>
      <c r="D7" s="82" t="s">
        <v>310</v>
      </c>
      <c r="E7" s="83">
        <v>6805.7</v>
      </c>
      <c r="F7" s="84">
        <f>9045.923+2250.473+30.9+96.39+108.835+188.212+68.161+17.222+26.413+53.641+483.207+21.912+22.306+282.223+138.309</f>
        <v>12834.126999999999</v>
      </c>
      <c r="G7" s="85">
        <v>12623.9</v>
      </c>
      <c r="H7" s="85">
        <v>12051.4</v>
      </c>
      <c r="I7" s="85">
        <v>12253.7</v>
      </c>
      <c r="J7" s="84">
        <v>12292.3</v>
      </c>
      <c r="K7" s="86">
        <v>13525.4</v>
      </c>
      <c r="L7" s="86">
        <v>13759.9</v>
      </c>
      <c r="M7" s="87">
        <v>12956.4</v>
      </c>
      <c r="N7" s="87">
        <v>15903.6</v>
      </c>
      <c r="O7" s="87">
        <v>15601.9</v>
      </c>
      <c r="P7" s="87">
        <v>13610.2</v>
      </c>
      <c r="Q7" s="87">
        <v>14085.2</v>
      </c>
      <c r="R7" s="87">
        <v>16032.4</v>
      </c>
      <c r="S7" s="87">
        <v>16082.1</v>
      </c>
      <c r="T7" s="87">
        <v>16082.1</v>
      </c>
      <c r="U7" s="87">
        <v>16082.1</v>
      </c>
      <c r="V7" s="87">
        <v>16638.8</v>
      </c>
      <c r="W7" s="87">
        <v>17238.5</v>
      </c>
      <c r="X7" s="87">
        <v>18105.2</v>
      </c>
      <c r="Y7" s="87">
        <v>18022.599999999999</v>
      </c>
      <c r="Z7" s="87">
        <v>17015.5</v>
      </c>
      <c r="AA7" s="87">
        <v>18030.5</v>
      </c>
      <c r="AB7" s="87">
        <v>17985.8</v>
      </c>
      <c r="AC7" s="87">
        <f t="shared" si="2"/>
        <v>105.70244776821134</v>
      </c>
      <c r="AD7" s="87">
        <f t="shared" si="3"/>
        <v>108.09553573575018</v>
      </c>
      <c r="AE7" s="87">
        <f t="shared" si="4"/>
        <v>16.873783893828886</v>
      </c>
      <c r="AF7" s="87">
        <v>18704.400000000001</v>
      </c>
      <c r="AG7" s="87">
        <v>18704.400000000001</v>
      </c>
      <c r="AH7" s="87">
        <v>18704.400000000001</v>
      </c>
      <c r="AI7" s="87">
        <f>AF7/$AF$48*100</f>
        <v>25.890270455077108</v>
      </c>
      <c r="AJ7" s="84">
        <f>AG7/$AG$48*100</f>
        <v>30.108122290705218</v>
      </c>
      <c r="AK7" s="84">
        <f>AH7/$AH$48*100</f>
        <v>30.071576022996936</v>
      </c>
    </row>
    <row r="8" spans="1:37" s="64" customFormat="1" ht="35.25" customHeight="1" x14ac:dyDescent="0.2">
      <c r="A8" s="81" t="s">
        <v>371</v>
      </c>
      <c r="B8" s="82" t="s">
        <v>300</v>
      </c>
      <c r="C8" s="82" t="s">
        <v>311</v>
      </c>
      <c r="D8" s="82"/>
      <c r="E8" s="83"/>
      <c r="F8" s="84"/>
      <c r="G8" s="85"/>
      <c r="H8" s="85"/>
      <c r="I8" s="85"/>
      <c r="J8" s="84"/>
      <c r="K8" s="86"/>
      <c r="L8" s="86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>
        <v>56.2</v>
      </c>
      <c r="Y8" s="87">
        <v>56.2</v>
      </c>
      <c r="Z8" s="87">
        <v>56.2</v>
      </c>
      <c r="AA8" s="87">
        <v>56.2</v>
      </c>
      <c r="AB8" s="87">
        <v>56.2</v>
      </c>
      <c r="AC8" s="87">
        <f t="shared" si="2"/>
        <v>100</v>
      </c>
      <c r="AD8" s="87"/>
      <c r="AE8" s="87">
        <f t="shared" si="4"/>
        <v>5.2725297447607747E-2</v>
      </c>
      <c r="AF8" s="87">
        <v>56.2</v>
      </c>
      <c r="AG8" s="87"/>
      <c r="AH8" s="87"/>
      <c r="AI8" s="87">
        <f>AF8/$AF$48*100</f>
        <v>7.7790958254492712E-2</v>
      </c>
      <c r="AJ8" s="84">
        <f>AG8/$AG$48*100</f>
        <v>0</v>
      </c>
      <c r="AK8" s="84">
        <f>AH8/$AH$48*100</f>
        <v>0</v>
      </c>
    </row>
    <row r="9" spans="1:37" s="88" customFormat="1" ht="24" customHeight="1" x14ac:dyDescent="0.2">
      <c r="A9" s="81" t="s">
        <v>312</v>
      </c>
      <c r="B9" s="82" t="s">
        <v>300</v>
      </c>
      <c r="C9" s="82" t="s">
        <v>313</v>
      </c>
      <c r="D9" s="82" t="s">
        <v>314</v>
      </c>
      <c r="E9" s="83">
        <v>0</v>
      </c>
      <c r="F9" s="85">
        <f>625.8+417.2</f>
        <v>1043</v>
      </c>
      <c r="G9" s="85">
        <v>0</v>
      </c>
      <c r="H9" s="85">
        <v>0</v>
      </c>
      <c r="I9" s="85"/>
      <c r="J9" s="84">
        <v>0</v>
      </c>
      <c r="K9" s="86">
        <v>1188.4000000000001</v>
      </c>
      <c r="L9" s="86">
        <v>0</v>
      </c>
      <c r="M9" s="87"/>
      <c r="N9" s="87"/>
      <c r="O9" s="87"/>
      <c r="P9" s="87"/>
      <c r="Q9" s="87"/>
      <c r="R9" s="87"/>
      <c r="S9" s="87"/>
      <c r="T9" s="87"/>
      <c r="U9" s="87"/>
      <c r="V9" s="87">
        <v>1580.3</v>
      </c>
      <c r="W9" s="87">
        <v>1580.3</v>
      </c>
      <c r="X9" s="87">
        <v>1580.3</v>
      </c>
      <c r="Y9" s="87">
        <v>2403.1999999999998</v>
      </c>
      <c r="Z9" s="87">
        <v>2403.1999999999998</v>
      </c>
      <c r="AA9" s="87">
        <v>2403.1999999999998</v>
      </c>
      <c r="AB9" s="87">
        <v>2403.1999999999998</v>
      </c>
      <c r="AC9" s="87">
        <f t="shared" si="2"/>
        <v>100</v>
      </c>
      <c r="AD9" s="87">
        <f t="shared" si="3"/>
        <v>152.07239131810414</v>
      </c>
      <c r="AE9" s="87">
        <f t="shared" si="4"/>
        <v>2.2546162780443226</v>
      </c>
      <c r="AF9" s="87"/>
      <c r="AG9" s="87"/>
      <c r="AH9" s="87"/>
      <c r="AI9" s="87">
        <f>AF9/$AF$48*100</f>
        <v>0</v>
      </c>
      <c r="AJ9" s="84">
        <f>AG9/$AG$48*100</f>
        <v>0</v>
      </c>
      <c r="AK9" s="84">
        <f>AH9/$AH$48*100</f>
        <v>0</v>
      </c>
    </row>
    <row r="10" spans="1:37" s="88" customFormat="1" ht="15.75" customHeight="1" x14ac:dyDescent="0.2">
      <c r="A10" s="81" t="s">
        <v>315</v>
      </c>
      <c r="B10" s="82" t="s">
        <v>300</v>
      </c>
      <c r="C10" s="82" t="s">
        <v>316</v>
      </c>
      <c r="D10" s="82" t="s">
        <v>314</v>
      </c>
      <c r="E10" s="83">
        <v>0</v>
      </c>
      <c r="F10" s="85">
        <v>0</v>
      </c>
      <c r="G10" s="85">
        <v>0</v>
      </c>
      <c r="H10" s="85">
        <v>0</v>
      </c>
      <c r="I10" s="85">
        <v>0</v>
      </c>
      <c r="J10" s="84">
        <v>0</v>
      </c>
      <c r="K10" s="86">
        <v>0</v>
      </c>
      <c r="L10" s="86">
        <v>0</v>
      </c>
      <c r="M10" s="87">
        <v>0</v>
      </c>
      <c r="N10" s="87">
        <v>0</v>
      </c>
      <c r="O10" s="87">
        <v>88</v>
      </c>
      <c r="P10" s="87">
        <v>88</v>
      </c>
      <c r="Q10" s="87">
        <v>88</v>
      </c>
      <c r="R10" s="87">
        <v>88</v>
      </c>
      <c r="S10" s="87">
        <v>88</v>
      </c>
      <c r="T10" s="87">
        <v>88</v>
      </c>
      <c r="U10" s="87">
        <v>0</v>
      </c>
      <c r="V10" s="87">
        <v>140.5</v>
      </c>
      <c r="W10" s="87">
        <v>140.5</v>
      </c>
      <c r="X10" s="87">
        <v>140.5</v>
      </c>
      <c r="Y10" s="87">
        <v>140.5</v>
      </c>
      <c r="Z10" s="87">
        <v>140.5</v>
      </c>
      <c r="AA10" s="87">
        <v>140.5</v>
      </c>
      <c r="AB10" s="87">
        <v>0</v>
      </c>
      <c r="AC10" s="87">
        <f t="shared" si="2"/>
        <v>0</v>
      </c>
      <c r="AD10" s="87">
        <f t="shared" si="3"/>
        <v>0</v>
      </c>
      <c r="AE10" s="87">
        <f t="shared" si="4"/>
        <v>0</v>
      </c>
      <c r="AF10" s="87">
        <v>138</v>
      </c>
      <c r="AG10" s="87">
        <v>138</v>
      </c>
      <c r="AH10" s="87">
        <v>138</v>
      </c>
      <c r="AI10" s="87">
        <f>AF10/$AF$48*100</f>
        <v>0.19101694375658354</v>
      </c>
      <c r="AJ10" s="84">
        <f>AG10/$AG$48*100</f>
        <v>0.22213601484770001</v>
      </c>
      <c r="AK10" s="84">
        <f>AH10/$AH$48*100</f>
        <v>0.22186637856191999</v>
      </c>
    </row>
    <row r="11" spans="1:37" s="88" customFormat="1" ht="15.75" customHeight="1" x14ac:dyDescent="0.2">
      <c r="A11" s="81" t="s">
        <v>317</v>
      </c>
      <c r="B11" s="82" t="s">
        <v>300</v>
      </c>
      <c r="C11" s="82" t="s">
        <v>318</v>
      </c>
      <c r="D11" s="82" t="s">
        <v>319</v>
      </c>
      <c r="E11" s="83">
        <v>8852.9599999999991</v>
      </c>
      <c r="F11" s="84">
        <f>99.986+421.716+491.985+117.179+108.7+53</f>
        <v>1292.566</v>
      </c>
      <c r="G11" s="85">
        <v>1603.5</v>
      </c>
      <c r="H11" s="85">
        <v>3638.7</v>
      </c>
      <c r="I11" s="85">
        <v>2612.6</v>
      </c>
      <c r="J11" s="84">
        <v>2078.1999999999998</v>
      </c>
      <c r="K11" s="86">
        <v>5778.3</v>
      </c>
      <c r="L11" s="86">
        <v>4555.7</v>
      </c>
      <c r="M11" s="87">
        <v>10716.5</v>
      </c>
      <c r="N11" s="87">
        <v>6826.2</v>
      </c>
      <c r="O11" s="87">
        <v>1724.4</v>
      </c>
      <c r="P11" s="87">
        <v>4395.3</v>
      </c>
      <c r="Q11" s="87">
        <v>6036.1</v>
      </c>
      <c r="R11" s="87">
        <v>6281.2</v>
      </c>
      <c r="S11" s="87">
        <v>7063.4</v>
      </c>
      <c r="T11" s="87">
        <v>7063.4</v>
      </c>
      <c r="U11" s="87">
        <v>7058</v>
      </c>
      <c r="V11" s="87">
        <v>2754.7</v>
      </c>
      <c r="W11" s="87">
        <v>4297.7</v>
      </c>
      <c r="X11" s="87">
        <v>5089.2</v>
      </c>
      <c r="Y11" s="87">
        <v>5275.8</v>
      </c>
      <c r="Z11" s="87">
        <v>5717.4</v>
      </c>
      <c r="AA11" s="87">
        <v>5883.4</v>
      </c>
      <c r="AB11" s="87">
        <v>5902.5</v>
      </c>
      <c r="AC11" s="87">
        <f t="shared" si="2"/>
        <v>103.23748557036416</v>
      </c>
      <c r="AD11" s="87">
        <f t="shared" si="3"/>
        <v>214.27015645986862</v>
      </c>
      <c r="AE11" s="87">
        <f t="shared" si="4"/>
        <v>5.5375634908274867</v>
      </c>
      <c r="AF11" s="87">
        <v>2955.5</v>
      </c>
      <c r="AG11" s="87">
        <v>4442.8</v>
      </c>
      <c r="AH11" s="87">
        <v>5874</v>
      </c>
      <c r="AI11" s="87">
        <f>AF11/$AF$48*100</f>
        <v>4.0909462121201638</v>
      </c>
      <c r="AJ11" s="84">
        <f>AG11/$AG$48*100</f>
        <v>7.1514919330823306</v>
      </c>
      <c r="AK11" s="84">
        <f>AH11/$AH$48*100</f>
        <v>9.4437906353095524</v>
      </c>
    </row>
    <row r="12" spans="1:37" s="80" customFormat="1" ht="15.75" customHeight="1" x14ac:dyDescent="0.15">
      <c r="A12" s="77" t="s">
        <v>320</v>
      </c>
      <c r="B12" s="78" t="s">
        <v>306</v>
      </c>
      <c r="C12" s="78"/>
      <c r="D12" s="89" t="str">
        <f t="shared" ref="D12:R12" si="5">D13</f>
        <v>356</v>
      </c>
      <c r="E12" s="89">
        <f t="shared" si="5"/>
        <v>357</v>
      </c>
      <c r="F12" s="89">
        <f t="shared" si="5"/>
        <v>400.84399999999999</v>
      </c>
      <c r="G12" s="89">
        <f t="shared" si="5"/>
        <v>780</v>
      </c>
      <c r="H12" s="89">
        <f t="shared" si="5"/>
        <v>610.4</v>
      </c>
      <c r="I12" s="89">
        <f t="shared" si="5"/>
        <v>552</v>
      </c>
      <c r="J12" s="79">
        <f t="shared" si="5"/>
        <v>378.2</v>
      </c>
      <c r="K12" s="79">
        <f t="shared" si="5"/>
        <v>393.8</v>
      </c>
      <c r="L12" s="79">
        <f t="shared" si="5"/>
        <v>435.5</v>
      </c>
      <c r="M12" s="79">
        <f t="shared" si="5"/>
        <v>481</v>
      </c>
      <c r="N12" s="79">
        <f t="shared" si="5"/>
        <v>524.1</v>
      </c>
      <c r="O12" s="79">
        <f t="shared" si="5"/>
        <v>493.8</v>
      </c>
      <c r="P12" s="79">
        <f t="shared" si="5"/>
        <v>493.8</v>
      </c>
      <c r="Q12" s="79">
        <f t="shared" si="5"/>
        <v>493.8</v>
      </c>
      <c r="R12" s="79">
        <f t="shared" si="5"/>
        <v>578.5</v>
      </c>
      <c r="S12" s="79">
        <f>S13</f>
        <v>578.5</v>
      </c>
      <c r="T12" s="79">
        <f t="shared" ref="T12:Z12" si="6">T13</f>
        <v>578.5</v>
      </c>
      <c r="U12" s="79">
        <f t="shared" si="6"/>
        <v>578.5</v>
      </c>
      <c r="V12" s="79">
        <f t="shared" si="6"/>
        <v>594.70000000000005</v>
      </c>
      <c r="W12" s="79">
        <f t="shared" si="6"/>
        <v>594.70000000000005</v>
      </c>
      <c r="X12" s="79">
        <f t="shared" si="6"/>
        <v>594.70000000000005</v>
      </c>
      <c r="Y12" s="79">
        <f t="shared" si="6"/>
        <v>594.70000000000005</v>
      </c>
      <c r="Z12" s="79">
        <f t="shared" si="6"/>
        <v>594.70000000000005</v>
      </c>
      <c r="AA12" s="79">
        <f>AA13</f>
        <v>594.70000000000005</v>
      </c>
      <c r="AB12" s="79">
        <f t="shared" ref="AB12:AH12" si="7">AB13</f>
        <v>594.70000000000005</v>
      </c>
      <c r="AC12" s="79">
        <f t="shared" si="2"/>
        <v>100</v>
      </c>
      <c r="AD12" s="79">
        <f t="shared" si="3"/>
        <v>100</v>
      </c>
      <c r="AE12" s="79">
        <f t="shared" si="4"/>
        <v>0.55793121694114467</v>
      </c>
      <c r="AF12" s="79">
        <f>AF13</f>
        <v>700.5</v>
      </c>
      <c r="AG12" s="79">
        <f>AG13</f>
        <v>773.4</v>
      </c>
      <c r="AH12" s="79">
        <f t="shared" si="7"/>
        <v>847.6</v>
      </c>
      <c r="AI12" s="79">
        <f>AF12/$AF$48*100</f>
        <v>0.9696186166774402</v>
      </c>
      <c r="AJ12" s="99">
        <f>AG12/$AG$48*100</f>
        <v>1.2449274919073274</v>
      </c>
      <c r="AK12" s="99">
        <f>AH12/$AH$48*100</f>
        <v>1.3627097280368363</v>
      </c>
    </row>
    <row r="13" spans="1:37" s="88" customFormat="1" ht="15.75" customHeight="1" x14ac:dyDescent="0.2">
      <c r="A13" s="81" t="s">
        <v>321</v>
      </c>
      <c r="B13" s="82" t="s">
        <v>306</v>
      </c>
      <c r="C13" s="82" t="s">
        <v>301</v>
      </c>
      <c r="D13" s="82" t="s">
        <v>322</v>
      </c>
      <c r="E13" s="83">
        <v>357</v>
      </c>
      <c r="F13" s="84">
        <f>335.844+65</f>
        <v>400.84399999999999</v>
      </c>
      <c r="G13" s="85">
        <v>780</v>
      </c>
      <c r="H13" s="85">
        <v>610.4</v>
      </c>
      <c r="I13" s="85">
        <v>552</v>
      </c>
      <c r="J13" s="84">
        <v>378.2</v>
      </c>
      <c r="K13" s="86">
        <v>393.8</v>
      </c>
      <c r="L13" s="86">
        <v>435.5</v>
      </c>
      <c r="M13" s="87">
        <v>481</v>
      </c>
      <c r="N13" s="87">
        <v>524.1</v>
      </c>
      <c r="O13" s="87">
        <v>493.8</v>
      </c>
      <c r="P13" s="87">
        <v>493.8</v>
      </c>
      <c r="Q13" s="87">
        <v>493.8</v>
      </c>
      <c r="R13" s="87">
        <v>578.5</v>
      </c>
      <c r="S13" s="87">
        <v>578.5</v>
      </c>
      <c r="T13" s="87">
        <v>578.5</v>
      </c>
      <c r="U13" s="87">
        <v>578.5</v>
      </c>
      <c r="V13" s="87">
        <v>594.70000000000005</v>
      </c>
      <c r="W13" s="87">
        <v>594.70000000000005</v>
      </c>
      <c r="X13" s="87">
        <v>594.70000000000005</v>
      </c>
      <c r="Y13" s="87">
        <v>594.70000000000005</v>
      </c>
      <c r="Z13" s="87">
        <v>594.70000000000005</v>
      </c>
      <c r="AA13" s="87">
        <v>594.70000000000005</v>
      </c>
      <c r="AB13" s="87">
        <v>594.70000000000005</v>
      </c>
      <c r="AC13" s="87">
        <f t="shared" si="2"/>
        <v>100</v>
      </c>
      <c r="AD13" s="87">
        <f t="shared" si="3"/>
        <v>100</v>
      </c>
      <c r="AE13" s="87">
        <f t="shared" si="4"/>
        <v>0.55793121694114467</v>
      </c>
      <c r="AF13" s="87">
        <v>700.5</v>
      </c>
      <c r="AG13" s="87">
        <v>773.4</v>
      </c>
      <c r="AH13" s="87">
        <v>847.6</v>
      </c>
      <c r="AI13" s="87">
        <f>AF13/$AF$48*100</f>
        <v>0.9696186166774402</v>
      </c>
      <c r="AJ13" s="84">
        <f>AG13/$AG$48*100</f>
        <v>1.2449274919073274</v>
      </c>
      <c r="AK13" s="84">
        <f>AH13/$AH$48*100</f>
        <v>1.3627097280368363</v>
      </c>
    </row>
    <row r="14" spans="1:37" s="80" customFormat="1" ht="25.5" customHeight="1" x14ac:dyDescent="0.15">
      <c r="A14" s="77" t="s">
        <v>323</v>
      </c>
      <c r="B14" s="78" t="s">
        <v>301</v>
      </c>
      <c r="C14" s="78"/>
      <c r="D14" s="89">
        <f t="shared" ref="D14:I14" si="8">D16+D15</f>
        <v>194.18600000000001</v>
      </c>
      <c r="E14" s="89">
        <f t="shared" si="8"/>
        <v>139.65</v>
      </c>
      <c r="F14" s="79">
        <f t="shared" si="8"/>
        <v>349.44200000000001</v>
      </c>
      <c r="G14" s="79">
        <f t="shared" si="8"/>
        <v>351</v>
      </c>
      <c r="H14" s="79">
        <f t="shared" si="8"/>
        <v>481.8</v>
      </c>
      <c r="I14" s="79">
        <f t="shared" si="8"/>
        <v>626</v>
      </c>
      <c r="J14" s="79">
        <f t="shared" ref="J14:M14" si="9">J16+J15+J18</f>
        <v>723.8</v>
      </c>
      <c r="K14" s="79">
        <f t="shared" si="9"/>
        <v>303.3</v>
      </c>
      <c r="L14" s="79">
        <f t="shared" si="9"/>
        <v>307.70000000000005</v>
      </c>
      <c r="M14" s="79">
        <f t="shared" si="9"/>
        <v>2318.7000000000003</v>
      </c>
      <c r="N14" s="79">
        <f t="shared" ref="N14" si="10">N16+N15+N18+N17</f>
        <v>1479.8</v>
      </c>
      <c r="O14" s="79">
        <f>O16+O15+O18+O17</f>
        <v>486</v>
      </c>
      <c r="P14" s="79">
        <f t="shared" ref="P14:U14" si="11">P16+P15+P18+P17</f>
        <v>486</v>
      </c>
      <c r="Q14" s="79">
        <f t="shared" si="11"/>
        <v>486</v>
      </c>
      <c r="R14" s="79">
        <f t="shared" si="11"/>
        <v>781</v>
      </c>
      <c r="S14" s="79">
        <f t="shared" si="11"/>
        <v>900.5</v>
      </c>
      <c r="T14" s="79">
        <f t="shared" si="11"/>
        <v>900.3</v>
      </c>
      <c r="U14" s="79">
        <f t="shared" si="11"/>
        <v>800.3</v>
      </c>
      <c r="V14" s="79">
        <f t="shared" ref="V14:Z14" si="12">V15+V17+V18</f>
        <v>459.9</v>
      </c>
      <c r="W14" s="79">
        <f t="shared" si="12"/>
        <v>559.9</v>
      </c>
      <c r="X14" s="79">
        <f t="shared" si="12"/>
        <v>574.19999999999993</v>
      </c>
      <c r="Y14" s="79">
        <f t="shared" si="12"/>
        <v>574.19999999999993</v>
      </c>
      <c r="Z14" s="79">
        <f t="shared" si="12"/>
        <v>574.19999999999993</v>
      </c>
      <c r="AA14" s="79">
        <f>AA15+AA17+AA18</f>
        <v>574.19999999999993</v>
      </c>
      <c r="AB14" s="79">
        <f t="shared" ref="AB14" si="13">AB15+AB17+AB18</f>
        <v>574.19999999999993</v>
      </c>
      <c r="AC14" s="79">
        <f t="shared" si="2"/>
        <v>100</v>
      </c>
      <c r="AD14" s="79">
        <f t="shared" si="3"/>
        <v>124.85322896281798</v>
      </c>
      <c r="AE14" s="79">
        <f t="shared" si="4"/>
        <v>0.53869867961594964</v>
      </c>
      <c r="AF14" s="79">
        <f>AF15+AF17+AF18</f>
        <v>330.79999999999995</v>
      </c>
      <c r="AG14" s="79">
        <f t="shared" ref="AG14:AH14" si="14">AG15+AG17+AG18</f>
        <v>331.09999999999997</v>
      </c>
      <c r="AH14" s="79">
        <f t="shared" si="14"/>
        <v>330.79999999999995</v>
      </c>
      <c r="AI14" s="79">
        <f>AF14/$AF$48*100</f>
        <v>0.45788699271505667</v>
      </c>
      <c r="AJ14" s="99">
        <f>AG14/$AG$48*100</f>
        <v>0.53296546750777873</v>
      </c>
      <c r="AK14" s="99">
        <f>AH14/$AH$48*100</f>
        <v>0.53183621759625455</v>
      </c>
    </row>
    <row r="15" spans="1:37" s="88" customFormat="1" ht="15" customHeight="1" x14ac:dyDescent="0.2">
      <c r="A15" s="90" t="s">
        <v>324</v>
      </c>
      <c r="B15" s="82" t="s">
        <v>301</v>
      </c>
      <c r="C15" s="82" t="s">
        <v>309</v>
      </c>
      <c r="D15" s="82"/>
      <c r="E15" s="83">
        <v>26</v>
      </c>
      <c r="F15" s="84">
        <f>42.742+14.057+7.109+13+8.09+1.5+15.597+7.8+1.603</f>
        <v>111.49799999999999</v>
      </c>
      <c r="G15" s="85">
        <v>99</v>
      </c>
      <c r="H15" s="85">
        <v>88</v>
      </c>
      <c r="I15" s="85">
        <v>101</v>
      </c>
      <c r="J15" s="84">
        <v>97</v>
      </c>
      <c r="K15" s="86">
        <v>100</v>
      </c>
      <c r="L15" s="86">
        <v>113.1</v>
      </c>
      <c r="M15" s="87">
        <v>109.9</v>
      </c>
      <c r="N15" s="87">
        <v>100.6</v>
      </c>
      <c r="O15" s="87">
        <v>103.9</v>
      </c>
      <c r="P15" s="87">
        <v>103.9</v>
      </c>
      <c r="Q15" s="87">
        <v>103.9</v>
      </c>
      <c r="R15" s="87">
        <v>103.9</v>
      </c>
      <c r="S15" s="87">
        <v>103.9</v>
      </c>
      <c r="T15" s="87">
        <v>103.9</v>
      </c>
      <c r="U15" s="87">
        <v>103.9</v>
      </c>
      <c r="V15" s="87">
        <v>116.8</v>
      </c>
      <c r="W15" s="87">
        <v>116.8</v>
      </c>
      <c r="X15" s="87">
        <v>131.1</v>
      </c>
      <c r="Y15" s="87">
        <v>131.1</v>
      </c>
      <c r="Z15" s="87">
        <v>131.1</v>
      </c>
      <c r="AA15" s="87">
        <v>131.1</v>
      </c>
      <c r="AB15" s="87">
        <v>131.1</v>
      </c>
      <c r="AC15" s="87">
        <f t="shared" si="2"/>
        <v>100</v>
      </c>
      <c r="AD15" s="87">
        <f t="shared" si="3"/>
        <v>112.24315068493152</v>
      </c>
      <c r="AE15" s="87">
        <f t="shared" si="4"/>
        <v>0.12299442162600313</v>
      </c>
      <c r="AF15" s="87">
        <v>143.6</v>
      </c>
      <c r="AG15" s="87">
        <v>143.6</v>
      </c>
      <c r="AH15" s="87">
        <v>143.6</v>
      </c>
      <c r="AI15" s="87">
        <f>AF15/$AF$48*100</f>
        <v>0.19876835596699557</v>
      </c>
      <c r="AJ15" s="84">
        <f>AG15/$AG$48*100</f>
        <v>0.23115022994296899</v>
      </c>
      <c r="AK15" s="84">
        <f>AH15/$AH$48*100</f>
        <v>0.23086965189486747</v>
      </c>
    </row>
    <row r="16" spans="1:37" s="88" customFormat="1" ht="0.75" customHeight="1" x14ac:dyDescent="0.2">
      <c r="A16" s="91" t="s">
        <v>325</v>
      </c>
      <c r="B16" s="82" t="s">
        <v>301</v>
      </c>
      <c r="C16" s="82" t="s">
        <v>326</v>
      </c>
      <c r="D16" s="82" t="s">
        <v>327</v>
      </c>
      <c r="E16" s="83">
        <v>113.65</v>
      </c>
      <c r="F16" s="84">
        <f>73.727+38.52+12.96+11.465+24.982+61.06+15.23</f>
        <v>237.94400000000002</v>
      </c>
      <c r="G16" s="85">
        <v>252</v>
      </c>
      <c r="H16" s="85">
        <v>393.8</v>
      </c>
      <c r="I16" s="85">
        <v>525</v>
      </c>
      <c r="J16" s="84">
        <v>515.4</v>
      </c>
      <c r="K16" s="86">
        <v>127.5</v>
      </c>
      <c r="L16" s="86">
        <v>105.7</v>
      </c>
      <c r="M16" s="87">
        <v>2124.5</v>
      </c>
      <c r="N16" s="87">
        <v>35</v>
      </c>
      <c r="O16" s="87">
        <v>0</v>
      </c>
      <c r="P16" s="87">
        <v>0</v>
      </c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>
        <f t="shared" ref="AB16:AB46" si="15">AA16-Z16</f>
        <v>0</v>
      </c>
      <c r="AC16" s="87" t="e">
        <f t="shared" si="2"/>
        <v>#DIV/0!</v>
      </c>
      <c r="AD16" s="87" t="e">
        <f t="shared" si="3"/>
        <v>#DIV/0!</v>
      </c>
      <c r="AE16" s="87">
        <f t="shared" si="4"/>
        <v>0</v>
      </c>
      <c r="AF16" s="87"/>
      <c r="AG16" s="87"/>
      <c r="AH16" s="87"/>
      <c r="AI16" s="87">
        <f>AF16/$AF$48*100</f>
        <v>0</v>
      </c>
      <c r="AJ16" s="84">
        <f>AG16/$AG$48*100</f>
        <v>0</v>
      </c>
      <c r="AK16" s="84">
        <f>AH16/$AH$48*100</f>
        <v>0</v>
      </c>
    </row>
    <row r="17" spans="1:37" s="88" customFormat="1" ht="34.5" customHeight="1" x14ac:dyDescent="0.2">
      <c r="A17" s="91" t="s">
        <v>328</v>
      </c>
      <c r="B17" s="82" t="s">
        <v>301</v>
      </c>
      <c r="C17" s="82" t="s">
        <v>302</v>
      </c>
      <c r="D17" s="82"/>
      <c r="E17" s="83"/>
      <c r="F17" s="84"/>
      <c r="G17" s="85"/>
      <c r="H17" s="85"/>
      <c r="I17" s="85"/>
      <c r="J17" s="84"/>
      <c r="K17" s="86"/>
      <c r="L17" s="86"/>
      <c r="M17" s="87"/>
      <c r="N17" s="87">
        <v>1258.5</v>
      </c>
      <c r="O17" s="87">
        <v>298.7</v>
      </c>
      <c r="P17" s="87">
        <v>298.7</v>
      </c>
      <c r="Q17" s="87">
        <v>298.7</v>
      </c>
      <c r="R17" s="87">
        <v>593.70000000000005</v>
      </c>
      <c r="S17" s="87">
        <v>713.2</v>
      </c>
      <c r="T17" s="87">
        <v>713</v>
      </c>
      <c r="U17" s="87">
        <v>613</v>
      </c>
      <c r="V17" s="87">
        <v>298.7</v>
      </c>
      <c r="W17" s="87">
        <v>398.7</v>
      </c>
      <c r="X17" s="87">
        <v>398.7</v>
      </c>
      <c r="Y17" s="87">
        <v>398.7</v>
      </c>
      <c r="Z17" s="87">
        <v>398.7</v>
      </c>
      <c r="AA17" s="87">
        <v>398.7</v>
      </c>
      <c r="AB17" s="87">
        <v>398.7</v>
      </c>
      <c r="AC17" s="87">
        <f t="shared" si="2"/>
        <v>100</v>
      </c>
      <c r="AD17" s="87">
        <f t="shared" si="3"/>
        <v>133.47840642785405</v>
      </c>
      <c r="AE17" s="87">
        <f t="shared" si="4"/>
        <v>0.37404939666123144</v>
      </c>
      <c r="AF17" s="87">
        <v>134.19999999999999</v>
      </c>
      <c r="AG17" s="87">
        <v>134.19999999999999</v>
      </c>
      <c r="AH17" s="87">
        <v>134.19999999999999</v>
      </c>
      <c r="AI17" s="87">
        <f>AF17/$AF$48*100</f>
        <v>0.18575705689951816</v>
      </c>
      <c r="AJ17" s="84">
        <f>AG17/$AG$48*100</f>
        <v>0.21601922603305318</v>
      </c>
      <c r="AK17" s="84">
        <f>AH17/$AH$48*100</f>
        <v>0.21575701451456278</v>
      </c>
    </row>
    <row r="18" spans="1:37" s="88" customFormat="1" ht="34.5" customHeight="1" x14ac:dyDescent="0.2">
      <c r="A18" s="91" t="s">
        <v>329</v>
      </c>
      <c r="B18" s="82" t="s">
        <v>301</v>
      </c>
      <c r="C18" s="82" t="s">
        <v>330</v>
      </c>
      <c r="D18" s="82"/>
      <c r="E18" s="83"/>
      <c r="F18" s="84"/>
      <c r="G18" s="85"/>
      <c r="H18" s="85"/>
      <c r="I18" s="85"/>
      <c r="J18" s="84">
        <v>111.4</v>
      </c>
      <c r="K18" s="86">
        <v>75.8</v>
      </c>
      <c r="L18" s="86">
        <v>88.9</v>
      </c>
      <c r="M18" s="87">
        <v>84.3</v>
      </c>
      <c r="N18" s="87">
        <v>85.7</v>
      </c>
      <c r="O18" s="87">
        <v>83.4</v>
      </c>
      <c r="P18" s="87">
        <v>83.4</v>
      </c>
      <c r="Q18" s="87">
        <v>83.4</v>
      </c>
      <c r="R18" s="87">
        <v>83.4</v>
      </c>
      <c r="S18" s="87">
        <v>83.4</v>
      </c>
      <c r="T18" s="87">
        <v>83.4</v>
      </c>
      <c r="U18" s="87">
        <v>83.4</v>
      </c>
      <c r="V18" s="87">
        <v>44.4</v>
      </c>
      <c r="W18" s="87">
        <v>44.4</v>
      </c>
      <c r="X18" s="87">
        <v>44.4</v>
      </c>
      <c r="Y18" s="87">
        <v>44.4</v>
      </c>
      <c r="Z18" s="87">
        <v>44.4</v>
      </c>
      <c r="AA18" s="87">
        <v>44.4</v>
      </c>
      <c r="AB18" s="87">
        <v>44.4</v>
      </c>
      <c r="AC18" s="87">
        <f t="shared" si="2"/>
        <v>100</v>
      </c>
      <c r="AD18" s="87">
        <f t="shared" si="3"/>
        <v>100</v>
      </c>
      <c r="AE18" s="87">
        <f t="shared" si="4"/>
        <v>4.1654861328715015E-2</v>
      </c>
      <c r="AF18" s="87">
        <v>53</v>
      </c>
      <c r="AG18" s="87">
        <v>53.3</v>
      </c>
      <c r="AH18" s="87">
        <v>53</v>
      </c>
      <c r="AI18" s="87">
        <f>AF18/$AF$48*100</f>
        <v>7.336157984854294E-2</v>
      </c>
      <c r="AJ18" s="84">
        <f>AG18/$AG$48*100</f>
        <v>8.5796011531756602E-2</v>
      </c>
      <c r="AK18" s="84">
        <f>AH18/$AH$48*100</f>
        <v>8.5209551186824356E-2</v>
      </c>
    </row>
    <row r="19" spans="1:37" s="80" customFormat="1" ht="15.75" customHeight="1" x14ac:dyDescent="0.15">
      <c r="A19" s="77" t="s">
        <v>331</v>
      </c>
      <c r="B19" s="78" t="s">
        <v>309</v>
      </c>
      <c r="C19" s="78"/>
      <c r="D19" s="89">
        <f t="shared" ref="D19:I19" si="16">D22+D25+D24+D20+D23</f>
        <v>1378.3679999999999</v>
      </c>
      <c r="E19" s="89">
        <f t="shared" si="16"/>
        <v>12044.8</v>
      </c>
      <c r="F19" s="89">
        <f t="shared" si="16"/>
        <v>7811.6809999999996</v>
      </c>
      <c r="G19" s="89">
        <f t="shared" si="16"/>
        <v>9084.2999999999993</v>
      </c>
      <c r="H19" s="89">
        <f t="shared" si="16"/>
        <v>12492</v>
      </c>
      <c r="I19" s="89">
        <f t="shared" si="16"/>
        <v>8613.4</v>
      </c>
      <c r="J19" s="79">
        <f>J20+J22+J24+J25+J23</f>
        <v>11271.1</v>
      </c>
      <c r="K19" s="79">
        <f>K20+K22+K24+K25+K23</f>
        <v>11909.7</v>
      </c>
      <c r="L19" s="79">
        <f>L20+L22+L23+L24</f>
        <v>15022.4</v>
      </c>
      <c r="M19" s="79">
        <f>M20+M22+M24+M25+M23</f>
        <v>16405.199999999997</v>
      </c>
      <c r="N19" s="79">
        <f t="shared" ref="N19:U19" si="17">N20+N22+N24+N25+N23+N21</f>
        <v>17203.3</v>
      </c>
      <c r="O19" s="79">
        <f t="shared" si="17"/>
        <v>14595</v>
      </c>
      <c r="P19" s="79">
        <f t="shared" si="17"/>
        <v>16769.5</v>
      </c>
      <c r="Q19" s="79">
        <f t="shared" si="17"/>
        <v>17758.599999999999</v>
      </c>
      <c r="R19" s="79">
        <f t="shared" si="17"/>
        <v>23437.199999999997</v>
      </c>
      <c r="S19" s="79">
        <f t="shared" si="17"/>
        <v>23554.399999999998</v>
      </c>
      <c r="T19" s="79">
        <f t="shared" si="17"/>
        <v>23554.3</v>
      </c>
      <c r="U19" s="79">
        <f t="shared" si="17"/>
        <v>22778.799999999999</v>
      </c>
      <c r="V19" s="79">
        <f t="shared" ref="V19:Z19" si="18">V20+V21+V22+V23+V24</f>
        <v>14341.800000000001</v>
      </c>
      <c r="W19" s="79">
        <f t="shared" si="18"/>
        <v>17370.599999999999</v>
      </c>
      <c r="X19" s="79">
        <f t="shared" si="18"/>
        <v>17603.599999999999</v>
      </c>
      <c r="Y19" s="79">
        <f t="shared" si="18"/>
        <v>17796.2</v>
      </c>
      <c r="Z19" s="79">
        <f t="shared" si="18"/>
        <v>18950.800000000003</v>
      </c>
      <c r="AA19" s="79">
        <f>AA20+AA21+AA22+AA23+AA24</f>
        <v>19062</v>
      </c>
      <c r="AB19" s="79">
        <f>AB20+AB21+AB22+AB23+AB24</f>
        <v>18461.2</v>
      </c>
      <c r="AC19" s="79">
        <f t="shared" si="2"/>
        <v>97.416467906368055</v>
      </c>
      <c r="AD19" s="79">
        <f t="shared" si="3"/>
        <v>128.72303337098549</v>
      </c>
      <c r="AE19" s="79">
        <f t="shared" si="4"/>
        <v>17.31979112526292</v>
      </c>
      <c r="AF19" s="79">
        <f>AF20+AF21+AF22+AF23+AF24</f>
        <v>15960.3</v>
      </c>
      <c r="AG19" s="79">
        <f t="shared" ref="AG19:AH19" si="19">AG20+AG21+AG22+AG23+AG24</f>
        <v>14884.7</v>
      </c>
      <c r="AH19" s="79">
        <f t="shared" si="19"/>
        <v>14887.7</v>
      </c>
      <c r="AI19" s="79">
        <f>AF19/$AF$48*100</f>
        <v>22.0919400539</v>
      </c>
      <c r="AJ19" s="99">
        <f>AG19/$AG$48*100</f>
        <v>23.959622755098266</v>
      </c>
      <c r="AK19" s="99">
        <f>AH19/$AH$48*100</f>
        <v>23.935362928378961</v>
      </c>
    </row>
    <row r="20" spans="1:37" s="88" customFormat="1" ht="14.25" customHeight="1" x14ac:dyDescent="0.2">
      <c r="A20" s="81" t="s">
        <v>332</v>
      </c>
      <c r="B20" s="82" t="s">
        <v>309</v>
      </c>
      <c r="C20" s="82" t="s">
        <v>300</v>
      </c>
      <c r="D20" s="82" t="s">
        <v>333</v>
      </c>
      <c r="E20" s="83">
        <v>1342.7</v>
      </c>
      <c r="F20" s="92">
        <f>1789.011+540.343+26.023</f>
        <v>2355.377</v>
      </c>
      <c r="G20" s="85">
        <v>1761.1</v>
      </c>
      <c r="H20" s="85">
        <v>1230.9000000000001</v>
      </c>
      <c r="I20" s="85">
        <v>1071.9000000000001</v>
      </c>
      <c r="J20" s="84">
        <v>1617.8</v>
      </c>
      <c r="K20" s="86">
        <v>2806.9</v>
      </c>
      <c r="L20" s="86">
        <v>2076.4</v>
      </c>
      <c r="M20" s="87">
        <v>2743</v>
      </c>
      <c r="N20" s="87">
        <v>3186.9</v>
      </c>
      <c r="O20" s="87">
        <v>723.2</v>
      </c>
      <c r="P20" s="87">
        <v>723.2</v>
      </c>
      <c r="Q20" s="87">
        <v>1712.3</v>
      </c>
      <c r="R20" s="87">
        <v>2812.7</v>
      </c>
      <c r="S20" s="87">
        <v>2929.8</v>
      </c>
      <c r="T20" s="87">
        <v>2929.8</v>
      </c>
      <c r="U20" s="87">
        <v>2929.8</v>
      </c>
      <c r="V20" s="87">
        <v>1052.0999999999999</v>
      </c>
      <c r="W20" s="87">
        <v>1236.0999999999999</v>
      </c>
      <c r="X20" s="87">
        <v>2094.4</v>
      </c>
      <c r="Y20" s="87">
        <v>2217.3000000000002</v>
      </c>
      <c r="Z20" s="87">
        <v>2881.9</v>
      </c>
      <c r="AA20" s="87">
        <v>2993.1</v>
      </c>
      <c r="AB20" s="87">
        <v>3392.3</v>
      </c>
      <c r="AC20" s="87">
        <f t="shared" si="2"/>
        <v>117.71053818661301</v>
      </c>
      <c r="AD20" s="87">
        <f t="shared" si="3"/>
        <v>322.43132782054943</v>
      </c>
      <c r="AE20" s="87">
        <f t="shared" si="4"/>
        <v>3.1825627496711704</v>
      </c>
      <c r="AF20" s="87">
        <v>1275.9000000000001</v>
      </c>
      <c r="AG20" s="87"/>
      <c r="AH20" s="87"/>
      <c r="AI20" s="87">
        <f>AF20/$AF$48*100</f>
        <v>1.766076221297282</v>
      </c>
      <c r="AJ20" s="84">
        <f>AG20/$AG$48*100</f>
        <v>0</v>
      </c>
      <c r="AK20" s="84">
        <f>AH20/$AH$48*100</f>
        <v>0</v>
      </c>
    </row>
    <row r="21" spans="1:37" s="88" customFormat="1" ht="14.25" customHeight="1" x14ac:dyDescent="0.2">
      <c r="A21" s="81" t="s">
        <v>334</v>
      </c>
      <c r="B21" s="82" t="s">
        <v>309</v>
      </c>
      <c r="C21" s="82" t="s">
        <v>335</v>
      </c>
      <c r="D21" s="82"/>
      <c r="E21" s="83"/>
      <c r="F21" s="92"/>
      <c r="G21" s="85"/>
      <c r="H21" s="85"/>
      <c r="I21" s="85"/>
      <c r="J21" s="84"/>
      <c r="K21" s="86"/>
      <c r="L21" s="86"/>
      <c r="M21" s="87"/>
      <c r="N21" s="87">
        <v>178.1</v>
      </c>
      <c r="O21" s="87">
        <v>0</v>
      </c>
      <c r="P21" s="87">
        <v>300</v>
      </c>
      <c r="Q21" s="87">
        <v>300</v>
      </c>
      <c r="R21" s="87">
        <v>298.60000000000002</v>
      </c>
      <c r="S21" s="87">
        <v>298.60000000000002</v>
      </c>
      <c r="T21" s="87">
        <v>298.60000000000002</v>
      </c>
      <c r="U21" s="87">
        <v>298.60000000000002</v>
      </c>
      <c r="V21" s="87">
        <v>0</v>
      </c>
      <c r="W21" s="87">
        <v>299.2</v>
      </c>
      <c r="X21" s="87">
        <v>299.2</v>
      </c>
      <c r="Y21" s="87">
        <v>299.2</v>
      </c>
      <c r="Z21" s="87">
        <v>299.2</v>
      </c>
      <c r="AA21" s="87">
        <v>299.2</v>
      </c>
      <c r="AB21" s="87">
        <v>299.2</v>
      </c>
      <c r="AC21" s="87">
        <f t="shared" si="2"/>
        <v>100</v>
      </c>
      <c r="AD21" s="87"/>
      <c r="AE21" s="87">
        <f t="shared" si="4"/>
        <v>0.28070122769260208</v>
      </c>
      <c r="AF21" s="87"/>
      <c r="AG21" s="87"/>
      <c r="AH21" s="87"/>
      <c r="AI21" s="87">
        <f>AF21/$AF$48*100</f>
        <v>0</v>
      </c>
      <c r="AJ21" s="84">
        <f>AG21/$AG$48*100</f>
        <v>0</v>
      </c>
      <c r="AK21" s="84">
        <f>AH21/$AH$48*100</f>
        <v>0</v>
      </c>
    </row>
    <row r="22" spans="1:37" s="88" customFormat="1" ht="15" customHeight="1" x14ac:dyDescent="0.2">
      <c r="A22" s="81" t="s">
        <v>336</v>
      </c>
      <c r="B22" s="82" t="s">
        <v>309</v>
      </c>
      <c r="C22" s="82" t="s">
        <v>337</v>
      </c>
      <c r="D22" s="82" t="s">
        <v>314</v>
      </c>
      <c r="E22" s="83">
        <v>0</v>
      </c>
      <c r="F22" s="92">
        <v>1999</v>
      </c>
      <c r="G22" s="85">
        <v>1999</v>
      </c>
      <c r="H22" s="85">
        <v>6219.4</v>
      </c>
      <c r="I22" s="85">
        <v>2400</v>
      </c>
      <c r="J22" s="84">
        <v>2400</v>
      </c>
      <c r="K22" s="86">
        <v>2400</v>
      </c>
      <c r="L22" s="86">
        <v>2400</v>
      </c>
      <c r="M22" s="87">
        <v>2400</v>
      </c>
      <c r="N22" s="87">
        <v>3500</v>
      </c>
      <c r="O22" s="87">
        <v>3500</v>
      </c>
      <c r="P22" s="87">
        <v>3500</v>
      </c>
      <c r="Q22" s="87">
        <v>3500</v>
      </c>
      <c r="R22" s="87">
        <v>3500</v>
      </c>
      <c r="S22" s="87">
        <v>3500</v>
      </c>
      <c r="T22" s="87">
        <v>3500</v>
      </c>
      <c r="U22" s="87">
        <v>3500</v>
      </c>
      <c r="V22" s="87">
        <v>3500</v>
      </c>
      <c r="W22" s="87">
        <v>4500</v>
      </c>
      <c r="X22" s="87">
        <v>4500</v>
      </c>
      <c r="Y22" s="87">
        <v>4500</v>
      </c>
      <c r="Z22" s="87">
        <v>4500</v>
      </c>
      <c r="AA22" s="87">
        <v>4500</v>
      </c>
      <c r="AB22" s="87">
        <v>3500</v>
      </c>
      <c r="AC22" s="87">
        <f t="shared" si="2"/>
        <v>77.777777777777786</v>
      </c>
      <c r="AD22" s="87">
        <f t="shared" si="3"/>
        <v>100</v>
      </c>
      <c r="AE22" s="87">
        <f t="shared" si="4"/>
        <v>3.2836039335698777</v>
      </c>
      <c r="AF22" s="87">
        <v>3500</v>
      </c>
      <c r="AG22" s="87">
        <v>3500</v>
      </c>
      <c r="AH22" s="87">
        <v>3500</v>
      </c>
      <c r="AI22" s="87">
        <f>AF22/$AF$48*100</f>
        <v>4.8446326315075536</v>
      </c>
      <c r="AJ22" s="84">
        <f>AG22/$AG$48*100</f>
        <v>5.6338844345431163</v>
      </c>
      <c r="AK22" s="84">
        <f>AH22/$AH$48*100</f>
        <v>5.6270458330921747</v>
      </c>
    </row>
    <row r="23" spans="1:37" s="88" customFormat="1" ht="15.75" customHeight="1" x14ac:dyDescent="0.2">
      <c r="A23" s="91" t="s">
        <v>338</v>
      </c>
      <c r="B23" s="82" t="s">
        <v>309</v>
      </c>
      <c r="C23" s="82" t="s">
        <v>326</v>
      </c>
      <c r="D23" s="82" t="s">
        <v>314</v>
      </c>
      <c r="E23" s="83">
        <v>9792.2999999999993</v>
      </c>
      <c r="F23" s="92">
        <f>1434.756+97+667.02+775.669</f>
        <v>2974.4449999999997</v>
      </c>
      <c r="G23" s="85">
        <v>4960.5</v>
      </c>
      <c r="H23" s="85">
        <v>3815.8</v>
      </c>
      <c r="I23" s="85">
        <v>3878.9</v>
      </c>
      <c r="J23" s="84">
        <v>6661</v>
      </c>
      <c r="K23" s="86">
        <v>6102.8</v>
      </c>
      <c r="L23" s="86">
        <v>9809.2000000000007</v>
      </c>
      <c r="M23" s="87">
        <v>10565.3</v>
      </c>
      <c r="N23" s="87">
        <v>9623.2000000000007</v>
      </c>
      <c r="O23" s="87">
        <v>9971.7999999999993</v>
      </c>
      <c r="P23" s="87">
        <v>11740.3</v>
      </c>
      <c r="Q23" s="87">
        <v>11740.3</v>
      </c>
      <c r="R23" s="87">
        <v>16069.9</v>
      </c>
      <c r="S23" s="87">
        <v>16070</v>
      </c>
      <c r="T23" s="87">
        <v>16069.9</v>
      </c>
      <c r="U23" s="87">
        <v>15369.7</v>
      </c>
      <c r="V23" s="87">
        <v>9239.7000000000007</v>
      </c>
      <c r="W23" s="87">
        <v>10710</v>
      </c>
      <c r="X23" s="87">
        <v>10710</v>
      </c>
      <c r="Y23" s="87">
        <v>10779.7</v>
      </c>
      <c r="Z23" s="87">
        <v>11269.7</v>
      </c>
      <c r="AA23" s="87">
        <v>11269.7</v>
      </c>
      <c r="AB23" s="87">
        <v>11269.7</v>
      </c>
      <c r="AC23" s="87">
        <f t="shared" si="2"/>
        <v>100</v>
      </c>
      <c r="AD23" s="87">
        <f t="shared" si="3"/>
        <v>121.97041029470654</v>
      </c>
      <c r="AE23" s="87">
        <f t="shared" si="4"/>
        <v>10.572923214329272</v>
      </c>
      <c r="AF23" s="87">
        <v>11184.4</v>
      </c>
      <c r="AG23" s="87">
        <v>11384.7</v>
      </c>
      <c r="AH23" s="87">
        <v>11387.7</v>
      </c>
      <c r="AI23" s="87">
        <f>AF23/$AF$48*100</f>
        <v>15.481231201095163</v>
      </c>
      <c r="AJ23" s="84">
        <f>AG23/$AG$48*100</f>
        <v>18.32573832055515</v>
      </c>
      <c r="AK23" s="84">
        <f>AH23/$AH$48*100</f>
        <v>18.308317095286789</v>
      </c>
    </row>
    <row r="24" spans="1:37" s="88" customFormat="1" ht="15.75" customHeight="1" x14ac:dyDescent="0.2">
      <c r="A24" s="91" t="s">
        <v>339</v>
      </c>
      <c r="B24" s="82" t="s">
        <v>309</v>
      </c>
      <c r="C24" s="82" t="s">
        <v>302</v>
      </c>
      <c r="D24" s="82" t="s">
        <v>340</v>
      </c>
      <c r="E24" s="83">
        <v>231.9</v>
      </c>
      <c r="F24" s="92">
        <f>43.647+226.909+46.183+4.12</f>
        <v>320.85899999999998</v>
      </c>
      <c r="G24" s="85">
        <v>299.7</v>
      </c>
      <c r="H24" s="85">
        <v>645.9</v>
      </c>
      <c r="I24" s="85">
        <v>971.6</v>
      </c>
      <c r="J24" s="84">
        <v>592.29999999999995</v>
      </c>
      <c r="K24" s="86">
        <v>600</v>
      </c>
      <c r="L24" s="86">
        <v>736.8</v>
      </c>
      <c r="M24" s="87">
        <v>696.9</v>
      </c>
      <c r="N24" s="87">
        <v>715.1</v>
      </c>
      <c r="O24" s="87">
        <v>400</v>
      </c>
      <c r="P24" s="87">
        <v>506</v>
      </c>
      <c r="Q24" s="87">
        <v>506</v>
      </c>
      <c r="R24" s="87">
        <v>756</v>
      </c>
      <c r="S24" s="87">
        <v>756</v>
      </c>
      <c r="T24" s="87">
        <v>756</v>
      </c>
      <c r="U24" s="87">
        <v>680.7</v>
      </c>
      <c r="V24" s="87">
        <v>550</v>
      </c>
      <c r="W24" s="87">
        <v>625.29999999999995</v>
      </c>
      <c r="X24" s="87">
        <v>0</v>
      </c>
      <c r="Y24" s="87"/>
      <c r="Z24" s="87"/>
      <c r="AA24" s="87">
        <v>0</v>
      </c>
      <c r="AB24" s="87">
        <v>0</v>
      </c>
      <c r="AC24" s="87"/>
      <c r="AD24" s="87">
        <f t="shared" si="3"/>
        <v>0</v>
      </c>
      <c r="AE24" s="87">
        <f t="shared" si="4"/>
        <v>0</v>
      </c>
      <c r="AF24" s="87"/>
      <c r="AG24" s="87"/>
      <c r="AH24" s="87"/>
      <c r="AI24" s="87">
        <f>AF24/$AF$48*100</f>
        <v>0</v>
      </c>
      <c r="AJ24" s="84">
        <f>AG24/$AG$48*100</f>
        <v>0</v>
      </c>
      <c r="AK24" s="84">
        <f>AH24/$AH$48*100</f>
        <v>0</v>
      </c>
    </row>
    <row r="25" spans="1:37" s="64" customFormat="1" ht="24" hidden="1" customHeight="1" x14ac:dyDescent="0.2">
      <c r="A25" s="91" t="s">
        <v>341</v>
      </c>
      <c r="B25" s="82" t="s">
        <v>309</v>
      </c>
      <c r="C25" s="82" t="s">
        <v>342</v>
      </c>
      <c r="D25" s="82" t="s">
        <v>314</v>
      </c>
      <c r="E25" s="83">
        <v>677.9</v>
      </c>
      <c r="F25" s="92">
        <f>64+98</f>
        <v>162</v>
      </c>
      <c r="G25" s="85">
        <v>64</v>
      </c>
      <c r="H25" s="85">
        <v>580</v>
      </c>
      <c r="I25" s="85">
        <v>291</v>
      </c>
      <c r="J25" s="84"/>
      <c r="K25" s="86"/>
      <c r="L25" s="93" t="e">
        <f>#REF!/$K$47*100</f>
        <v>#REF!</v>
      </c>
      <c r="M25" s="87"/>
      <c r="N25" s="79"/>
      <c r="O25" s="79"/>
      <c r="P25" s="79"/>
      <c r="Q25" s="79"/>
      <c r="R25" s="79"/>
      <c r="S25" s="79"/>
      <c r="T25" s="79"/>
      <c r="U25" s="79"/>
      <c r="V25" s="87"/>
      <c r="W25" s="87"/>
      <c r="X25" s="87"/>
      <c r="Y25" s="87"/>
      <c r="Z25" s="87"/>
      <c r="AA25" s="87"/>
      <c r="AB25" s="79">
        <f t="shared" si="15"/>
        <v>0</v>
      </c>
      <c r="AC25" s="79" t="e">
        <f t="shared" si="2"/>
        <v>#DIV/0!</v>
      </c>
      <c r="AD25" s="79" t="e">
        <f t="shared" si="3"/>
        <v>#DIV/0!</v>
      </c>
      <c r="AE25" s="79">
        <f t="shared" si="4"/>
        <v>0</v>
      </c>
      <c r="AF25" s="87" t="e">
        <f>U25/O25*100</f>
        <v>#DIV/0!</v>
      </c>
      <c r="AG25" s="87" t="e">
        <f>U25/N25*100</f>
        <v>#DIV/0!</v>
      </c>
      <c r="AH25" s="87">
        <f>S25-O25</f>
        <v>0</v>
      </c>
      <c r="AI25" s="87" t="e">
        <f>AF25/$AF$48*100</f>
        <v>#DIV/0!</v>
      </c>
      <c r="AJ25" s="84" t="e">
        <f>AG25/$AG$48*100</f>
        <v>#DIV/0!</v>
      </c>
      <c r="AK25" s="84">
        <f>AH25/$AH$48*100</f>
        <v>0</v>
      </c>
    </row>
    <row r="26" spans="1:37" s="80" customFormat="1" ht="15.75" customHeight="1" x14ac:dyDescent="0.15">
      <c r="A26" s="77" t="s">
        <v>343</v>
      </c>
      <c r="B26" s="78" t="s">
        <v>335</v>
      </c>
      <c r="C26" s="78"/>
      <c r="D26" s="89">
        <f t="shared" ref="D26:I26" si="20">D27+D29+D28</f>
        <v>13595.323</v>
      </c>
      <c r="E26" s="89">
        <f t="shared" si="20"/>
        <v>7656.24</v>
      </c>
      <c r="F26" s="89">
        <f t="shared" si="20"/>
        <v>17347.534999999996</v>
      </c>
      <c r="G26" s="89">
        <f t="shared" si="20"/>
        <v>10485.200000000001</v>
      </c>
      <c r="H26" s="89">
        <f t="shared" si="20"/>
        <v>13044.199999999999</v>
      </c>
      <c r="I26" s="89">
        <f t="shared" si="20"/>
        <v>19496</v>
      </c>
      <c r="J26" s="79">
        <f>J27+J28+J29</f>
        <v>34636.700000000004</v>
      </c>
      <c r="K26" s="79">
        <f>K27+K28+K29</f>
        <v>11983.4</v>
      </c>
      <c r="L26" s="79">
        <f t="shared" ref="L26:AA26" si="21">L27+L28+L29</f>
        <v>12296.1</v>
      </c>
      <c r="M26" s="79">
        <f t="shared" si="21"/>
        <v>43615.899999999994</v>
      </c>
      <c r="N26" s="79">
        <f t="shared" si="21"/>
        <v>16776.599999999999</v>
      </c>
      <c r="O26" s="79">
        <f t="shared" si="21"/>
        <v>17766.800000000003</v>
      </c>
      <c r="P26" s="79">
        <f t="shared" si="21"/>
        <v>26388.300000000003</v>
      </c>
      <c r="Q26" s="79">
        <f t="shared" si="21"/>
        <v>29861.300000000003</v>
      </c>
      <c r="R26" s="79">
        <f t="shared" si="21"/>
        <v>31456.699999999997</v>
      </c>
      <c r="S26" s="79">
        <f t="shared" si="21"/>
        <v>33406.600000000006</v>
      </c>
      <c r="T26" s="79">
        <f t="shared" si="21"/>
        <v>33406.600000000006</v>
      </c>
      <c r="U26" s="79">
        <f t="shared" si="21"/>
        <v>28399.9</v>
      </c>
      <c r="V26" s="79">
        <f t="shared" si="21"/>
        <v>12210.7</v>
      </c>
      <c r="W26" s="79">
        <f t="shared" si="21"/>
        <v>16322.3</v>
      </c>
      <c r="X26" s="79">
        <f t="shared" si="21"/>
        <v>17074.3</v>
      </c>
      <c r="Y26" s="79">
        <f t="shared" si="21"/>
        <v>16440.7</v>
      </c>
      <c r="Z26" s="79">
        <f t="shared" si="21"/>
        <v>19853.2</v>
      </c>
      <c r="AA26" s="79">
        <f t="shared" si="21"/>
        <v>19907.900000000001</v>
      </c>
      <c r="AB26" s="79">
        <f>AB27+AB28+AB29</f>
        <v>20020.400000000001</v>
      </c>
      <c r="AC26" s="79">
        <f t="shared" si="2"/>
        <v>100.8421816130397</v>
      </c>
      <c r="AD26" s="79">
        <f t="shared" si="3"/>
        <v>163.95784025485844</v>
      </c>
      <c r="AE26" s="79">
        <f t="shared" si="4"/>
        <v>18.78258976904068</v>
      </c>
      <c r="AF26" s="79">
        <f t="shared" ref="AF26:AH26" si="22">AF27+AF28+AF29</f>
        <v>14665.099999999999</v>
      </c>
      <c r="AG26" s="79">
        <f t="shared" si="22"/>
        <v>4117</v>
      </c>
      <c r="AH26" s="79">
        <f t="shared" si="22"/>
        <v>2685.8999999999996</v>
      </c>
      <c r="AI26" s="79">
        <f>AF26/$AF$48*100</f>
        <v>20.299149144091832</v>
      </c>
      <c r="AJ26" s="99">
        <f>AG26/$AG$48*100</f>
        <v>6.6270577762897176</v>
      </c>
      <c r="AK26" s="99">
        <f>AH26/$AH$48*100</f>
        <v>4.3181949723149344</v>
      </c>
    </row>
    <row r="27" spans="1:37" s="88" customFormat="1" ht="15.75" customHeight="1" x14ac:dyDescent="0.2">
      <c r="A27" s="81" t="s">
        <v>344</v>
      </c>
      <c r="B27" s="82" t="s">
        <v>335</v>
      </c>
      <c r="C27" s="82" t="s">
        <v>300</v>
      </c>
      <c r="D27" s="82" t="s">
        <v>345</v>
      </c>
      <c r="E27" s="83">
        <v>4466.8999999999996</v>
      </c>
      <c r="F27" s="92">
        <f>3383.74</f>
        <v>3383.74</v>
      </c>
      <c r="G27" s="85">
        <v>2252.3000000000002</v>
      </c>
      <c r="H27" s="85">
        <v>4761.7</v>
      </c>
      <c r="I27" s="85">
        <v>3981</v>
      </c>
      <c r="J27" s="84">
        <v>4566.6000000000004</v>
      </c>
      <c r="K27" s="86">
        <v>3410.7</v>
      </c>
      <c r="L27" s="86">
        <v>823.2</v>
      </c>
      <c r="M27" s="87">
        <v>4769.1000000000004</v>
      </c>
      <c r="N27" s="87">
        <v>2011.1</v>
      </c>
      <c r="O27" s="87">
        <v>2175.6</v>
      </c>
      <c r="P27" s="87">
        <v>3554.9</v>
      </c>
      <c r="Q27" s="87">
        <v>3554.9</v>
      </c>
      <c r="R27" s="87">
        <v>6569.9</v>
      </c>
      <c r="S27" s="87">
        <v>7754.3</v>
      </c>
      <c r="T27" s="87">
        <v>7754.3</v>
      </c>
      <c r="U27" s="87">
        <v>7749.6</v>
      </c>
      <c r="V27" s="87">
        <v>3824.5</v>
      </c>
      <c r="W27" s="87">
        <v>4246</v>
      </c>
      <c r="X27" s="87">
        <v>5041.7</v>
      </c>
      <c r="Y27" s="87">
        <v>5041.7</v>
      </c>
      <c r="Z27" s="87">
        <v>5488.7</v>
      </c>
      <c r="AA27" s="87">
        <v>5488.7</v>
      </c>
      <c r="AB27" s="87">
        <v>5488.7</v>
      </c>
      <c r="AC27" s="87">
        <f t="shared" si="2"/>
        <v>100</v>
      </c>
      <c r="AD27" s="87">
        <f t="shared" si="3"/>
        <v>143.51418486076611</v>
      </c>
      <c r="AE27" s="87">
        <f t="shared" si="4"/>
        <v>5.1493476886242817</v>
      </c>
      <c r="AF27" s="87">
        <v>1085.8</v>
      </c>
      <c r="AG27" s="87">
        <v>1085.8</v>
      </c>
      <c r="AH27" s="87">
        <v>1085.8</v>
      </c>
      <c r="AI27" s="87">
        <f>AF27/$AF$48*100</f>
        <v>1.5029434603688288</v>
      </c>
      <c r="AJ27" s="84">
        <f>AG27/$AG$48*100</f>
        <v>1.747791919721976</v>
      </c>
      <c r="AK27" s="84">
        <f>AH27/$AH$48*100</f>
        <v>1.7456703901632806</v>
      </c>
    </row>
    <row r="28" spans="1:37" s="88" customFormat="1" ht="15.75" customHeight="1" x14ac:dyDescent="0.2">
      <c r="A28" s="94" t="s">
        <v>346</v>
      </c>
      <c r="B28" s="82" t="s">
        <v>335</v>
      </c>
      <c r="C28" s="82" t="s">
        <v>306</v>
      </c>
      <c r="D28" s="82" t="s">
        <v>347</v>
      </c>
      <c r="E28" s="83">
        <v>1881.94</v>
      </c>
      <c r="F28" s="92">
        <f>595.401+6189.499+2264.229</f>
        <v>9049.128999999999</v>
      </c>
      <c r="G28" s="85">
        <v>4999.3</v>
      </c>
      <c r="H28" s="85">
        <v>5253.4</v>
      </c>
      <c r="I28" s="85">
        <v>8035.4</v>
      </c>
      <c r="J28" s="84">
        <v>26009.8</v>
      </c>
      <c r="K28" s="86">
        <v>1007.8</v>
      </c>
      <c r="L28" s="86">
        <v>449.8</v>
      </c>
      <c r="M28" s="87">
        <v>4230.7</v>
      </c>
      <c r="N28" s="87">
        <v>9338.6</v>
      </c>
      <c r="O28" s="87">
        <v>6053</v>
      </c>
      <c r="P28" s="87">
        <v>6053</v>
      </c>
      <c r="Q28" s="87">
        <v>7585</v>
      </c>
      <c r="R28" s="87">
        <v>7585</v>
      </c>
      <c r="S28" s="87">
        <v>7785.1</v>
      </c>
      <c r="T28" s="87">
        <v>7785.1</v>
      </c>
      <c r="U28" s="87">
        <v>7785.1</v>
      </c>
      <c r="V28" s="87">
        <v>4221</v>
      </c>
      <c r="W28" s="87">
        <v>4221</v>
      </c>
      <c r="X28" s="87">
        <v>4390.8</v>
      </c>
      <c r="Y28" s="87">
        <v>4390.8</v>
      </c>
      <c r="Z28" s="87">
        <v>6730.7</v>
      </c>
      <c r="AA28" s="87">
        <v>6737.6</v>
      </c>
      <c r="AB28" s="87">
        <v>6737.6</v>
      </c>
      <c r="AC28" s="87">
        <f t="shared" si="2"/>
        <v>100.10251534015779</v>
      </c>
      <c r="AD28" s="87">
        <f t="shared" si="3"/>
        <v>159.62094290452501</v>
      </c>
      <c r="AE28" s="87">
        <f t="shared" si="4"/>
        <v>6.3210313893772598</v>
      </c>
      <c r="AF28" s="87">
        <v>9337.9</v>
      </c>
      <c r="AG28" s="87">
        <v>221</v>
      </c>
      <c r="AH28" s="87">
        <v>221</v>
      </c>
      <c r="AI28" s="87">
        <f>AF28/$AF$48*100</f>
        <v>12.925341442786968</v>
      </c>
      <c r="AJ28" s="84">
        <f>AG28/$AG$48*100</f>
        <v>0.35573956000972251</v>
      </c>
      <c r="AK28" s="84">
        <f>AH28/$AH$48*100</f>
        <v>0.35530775117524871</v>
      </c>
    </row>
    <row r="29" spans="1:37" s="88" customFormat="1" ht="15.75" customHeight="1" x14ac:dyDescent="0.2">
      <c r="A29" s="81" t="s">
        <v>348</v>
      </c>
      <c r="B29" s="82" t="s">
        <v>335</v>
      </c>
      <c r="C29" s="82" t="s">
        <v>301</v>
      </c>
      <c r="D29" s="82" t="s">
        <v>349</v>
      </c>
      <c r="E29" s="83">
        <v>1307.4000000000001</v>
      </c>
      <c r="F29" s="92">
        <f>625.621+390.945+12.4+200+95.76+18.64+1589.711+316.634+1664.955</f>
        <v>4914.6660000000002</v>
      </c>
      <c r="G29" s="85">
        <v>3233.6</v>
      </c>
      <c r="H29" s="85">
        <v>3029.1</v>
      </c>
      <c r="I29" s="85">
        <v>7479.6</v>
      </c>
      <c r="J29" s="84">
        <v>4060.3</v>
      </c>
      <c r="K29" s="86">
        <v>7564.9</v>
      </c>
      <c r="L29" s="86">
        <v>11023.1</v>
      </c>
      <c r="M29" s="87">
        <v>34616.1</v>
      </c>
      <c r="N29" s="87">
        <v>5426.9</v>
      </c>
      <c r="O29" s="87">
        <v>9538.2000000000007</v>
      </c>
      <c r="P29" s="87">
        <v>16780.400000000001</v>
      </c>
      <c r="Q29" s="87">
        <v>18721.400000000001</v>
      </c>
      <c r="R29" s="87">
        <v>17301.8</v>
      </c>
      <c r="S29" s="87">
        <v>17867.2</v>
      </c>
      <c r="T29" s="87">
        <v>17867.2</v>
      </c>
      <c r="U29" s="87">
        <v>12865.2</v>
      </c>
      <c r="V29" s="87">
        <v>4165.2</v>
      </c>
      <c r="W29" s="87">
        <v>7855.3</v>
      </c>
      <c r="X29" s="87">
        <v>7641.8</v>
      </c>
      <c r="Y29" s="87">
        <v>7008.2</v>
      </c>
      <c r="Z29" s="87">
        <v>7633.8</v>
      </c>
      <c r="AA29" s="87">
        <v>7681.6</v>
      </c>
      <c r="AB29" s="87">
        <v>7794.1</v>
      </c>
      <c r="AC29" s="87">
        <f t="shared" si="2"/>
        <v>102.09987162356886</v>
      </c>
      <c r="AD29" s="87">
        <f t="shared" si="3"/>
        <v>187.12426774224528</v>
      </c>
      <c r="AE29" s="87">
        <f t="shared" si="4"/>
        <v>7.3122106910391382</v>
      </c>
      <c r="AF29" s="87">
        <v>4241.3999999999996</v>
      </c>
      <c r="AG29" s="87">
        <v>2810.2</v>
      </c>
      <c r="AH29" s="87">
        <v>1379.1</v>
      </c>
      <c r="AI29" s="87">
        <f>AF29/$AF$48*100</f>
        <v>5.8708642409360383</v>
      </c>
      <c r="AJ29" s="84">
        <f>AG29/$AG$48*100</f>
        <v>4.5235262965580185</v>
      </c>
      <c r="AK29" s="84">
        <f>AH29/$AH$48*100</f>
        <v>2.2172168309764051</v>
      </c>
    </row>
    <row r="30" spans="1:37" s="80" customFormat="1" ht="15.75" customHeight="1" x14ac:dyDescent="0.15">
      <c r="A30" s="95" t="s">
        <v>350</v>
      </c>
      <c r="B30" s="96">
        <v>6</v>
      </c>
      <c r="C30" s="96"/>
      <c r="D30" s="78"/>
      <c r="E30" s="89"/>
      <c r="F30" s="97"/>
      <c r="G30" s="98"/>
      <c r="H30" s="98"/>
      <c r="I30" s="98"/>
      <c r="J30" s="99"/>
      <c r="K30" s="93">
        <f t="shared" ref="K30:M30" si="23">K31</f>
        <v>2.04</v>
      </c>
      <c r="L30" s="93">
        <f t="shared" si="23"/>
        <v>0</v>
      </c>
      <c r="M30" s="93">
        <f t="shared" si="23"/>
        <v>2.2000000000000002</v>
      </c>
      <c r="N30" s="79"/>
      <c r="O30" s="79"/>
      <c r="P30" s="79"/>
      <c r="Q30" s="79"/>
      <c r="R30" s="79">
        <f>R31</f>
        <v>559.6</v>
      </c>
      <c r="S30" s="79">
        <f>S31</f>
        <v>1206</v>
      </c>
      <c r="T30" s="79">
        <f t="shared" ref="T30:AA30" si="24">T31</f>
        <v>1206</v>
      </c>
      <c r="U30" s="79">
        <f t="shared" si="24"/>
        <v>1206</v>
      </c>
      <c r="V30" s="79">
        <f t="shared" si="24"/>
        <v>550</v>
      </c>
      <c r="W30" s="79">
        <f t="shared" si="24"/>
        <v>550</v>
      </c>
      <c r="X30" s="79">
        <f t="shared" si="24"/>
        <v>825</v>
      </c>
      <c r="Y30" s="79">
        <f t="shared" si="24"/>
        <v>931.4</v>
      </c>
      <c r="Z30" s="79">
        <f t="shared" si="24"/>
        <v>1331.2</v>
      </c>
      <c r="AA30" s="79">
        <f t="shared" si="24"/>
        <v>3737.9</v>
      </c>
      <c r="AB30" s="79">
        <f>AB31</f>
        <v>3737.9</v>
      </c>
      <c r="AC30" s="79">
        <f t="shared" si="2"/>
        <v>280.79176682692309</v>
      </c>
      <c r="AD30" s="79">
        <f t="shared" si="3"/>
        <v>679.61818181818182</v>
      </c>
      <c r="AE30" s="79">
        <f t="shared" si="4"/>
        <v>3.5067951837973843</v>
      </c>
      <c r="AF30" s="79">
        <f t="shared" ref="AF30:AH30" si="25">AF31</f>
        <v>0</v>
      </c>
      <c r="AG30" s="79">
        <f t="shared" si="25"/>
        <v>0</v>
      </c>
      <c r="AH30" s="79">
        <f t="shared" si="25"/>
        <v>0</v>
      </c>
      <c r="AI30" s="79">
        <f>AF30/$AF$48*100</f>
        <v>0</v>
      </c>
      <c r="AJ30" s="99">
        <f>AG30/$AG$48*100</f>
        <v>0</v>
      </c>
      <c r="AK30" s="99">
        <f>AH30/$AH$48*100</f>
        <v>0</v>
      </c>
    </row>
    <row r="31" spans="1:37" s="88" customFormat="1" ht="24" customHeight="1" x14ac:dyDescent="0.2">
      <c r="A31" s="100" t="s">
        <v>351</v>
      </c>
      <c r="B31" s="101">
        <v>6</v>
      </c>
      <c r="C31" s="101">
        <v>5</v>
      </c>
      <c r="D31" s="82"/>
      <c r="E31" s="83"/>
      <c r="F31" s="92"/>
      <c r="G31" s="85"/>
      <c r="H31" s="85"/>
      <c r="I31" s="85"/>
      <c r="J31" s="84"/>
      <c r="K31" s="86">
        <v>2.04</v>
      </c>
      <c r="L31" s="86"/>
      <c r="M31" s="87">
        <v>2.2000000000000002</v>
      </c>
      <c r="N31" s="87"/>
      <c r="O31" s="87"/>
      <c r="P31" s="87"/>
      <c r="Q31" s="87"/>
      <c r="R31" s="87">
        <v>559.6</v>
      </c>
      <c r="S31" s="87">
        <v>1206</v>
      </c>
      <c r="T31" s="87">
        <v>1206</v>
      </c>
      <c r="U31" s="87">
        <v>1206</v>
      </c>
      <c r="V31" s="87">
        <v>550</v>
      </c>
      <c r="W31" s="87">
        <v>550</v>
      </c>
      <c r="X31" s="87">
        <v>825</v>
      </c>
      <c r="Y31" s="87">
        <v>931.4</v>
      </c>
      <c r="Z31" s="87">
        <v>1331.2</v>
      </c>
      <c r="AA31" s="87">
        <v>3737.9</v>
      </c>
      <c r="AB31" s="87">
        <v>3737.9</v>
      </c>
      <c r="AC31" s="87">
        <f t="shared" si="2"/>
        <v>280.79176682692309</v>
      </c>
      <c r="AD31" s="87">
        <f t="shared" si="3"/>
        <v>679.61818181818182</v>
      </c>
      <c r="AE31" s="87">
        <f t="shared" si="4"/>
        <v>3.5067951837973843</v>
      </c>
      <c r="AF31" s="87"/>
      <c r="AG31" s="87"/>
      <c r="AH31" s="87"/>
      <c r="AI31" s="87">
        <f>AF31/$AF$48*100</f>
        <v>0</v>
      </c>
      <c r="AJ31" s="84">
        <f>AG31/$AG$48*100</f>
        <v>0</v>
      </c>
      <c r="AK31" s="84">
        <f>AH31/$AH$48*100</f>
        <v>0</v>
      </c>
    </row>
    <row r="32" spans="1:37" s="80" customFormat="1" ht="15.75" hidden="1" customHeight="1" x14ac:dyDescent="0.15">
      <c r="A32" s="77" t="s">
        <v>352</v>
      </c>
      <c r="B32" s="78" t="s">
        <v>313</v>
      </c>
      <c r="C32" s="78"/>
      <c r="D32" s="89" t="str">
        <f t="shared" ref="D32:J32" si="26">D33</f>
        <v>0</v>
      </c>
      <c r="E32" s="89">
        <f t="shared" si="26"/>
        <v>0</v>
      </c>
      <c r="F32" s="89">
        <f t="shared" si="26"/>
        <v>18</v>
      </c>
      <c r="G32" s="89">
        <f t="shared" si="26"/>
        <v>0</v>
      </c>
      <c r="H32" s="89">
        <f t="shared" si="26"/>
        <v>0</v>
      </c>
      <c r="I32" s="89">
        <f t="shared" si="26"/>
        <v>0</v>
      </c>
      <c r="J32" s="79">
        <f t="shared" si="26"/>
        <v>91.5</v>
      </c>
      <c r="K32" s="93"/>
      <c r="L32" s="93" t="e">
        <f>#REF!/$K$47*100</f>
        <v>#REF!</v>
      </c>
      <c r="M32" s="87"/>
      <c r="N32" s="79"/>
      <c r="O32" s="79"/>
      <c r="P32" s="79"/>
      <c r="Q32" s="79"/>
      <c r="R32" s="79"/>
      <c r="S32" s="79"/>
      <c r="T32" s="79"/>
      <c r="U32" s="79"/>
      <c r="V32" s="87"/>
      <c r="W32" s="87"/>
      <c r="X32" s="87"/>
      <c r="Y32" s="87"/>
      <c r="Z32" s="87"/>
      <c r="AA32" s="87"/>
      <c r="AB32" s="79">
        <f t="shared" si="15"/>
        <v>0</v>
      </c>
      <c r="AC32" s="79" t="e">
        <f t="shared" si="2"/>
        <v>#DIV/0!</v>
      </c>
      <c r="AD32" s="79" t="e">
        <f t="shared" si="3"/>
        <v>#DIV/0!</v>
      </c>
      <c r="AE32" s="79">
        <f t="shared" si="4"/>
        <v>0</v>
      </c>
      <c r="AF32" s="87" t="e">
        <f>U32/O32*100</f>
        <v>#DIV/0!</v>
      </c>
      <c r="AG32" s="87" t="e">
        <f>U32/N32*100</f>
        <v>#DIV/0!</v>
      </c>
      <c r="AH32" s="87">
        <f>S32-O32</f>
        <v>0</v>
      </c>
      <c r="AI32" s="87" t="e">
        <f>AF32/$AF$48*100</f>
        <v>#DIV/0!</v>
      </c>
      <c r="AJ32" s="84" t="e">
        <f>AG32/$AG$48*100</f>
        <v>#DIV/0!</v>
      </c>
      <c r="AK32" s="84">
        <f>AH32/$AH$48*100</f>
        <v>0</v>
      </c>
    </row>
    <row r="33" spans="1:37" s="88" customFormat="1" ht="15.75" hidden="1" customHeight="1" x14ac:dyDescent="0.2">
      <c r="A33" s="81" t="s">
        <v>353</v>
      </c>
      <c r="B33" s="82" t="s">
        <v>313</v>
      </c>
      <c r="C33" s="82" t="s">
        <v>313</v>
      </c>
      <c r="D33" s="82" t="s">
        <v>314</v>
      </c>
      <c r="E33" s="83">
        <v>0</v>
      </c>
      <c r="F33" s="92">
        <v>18</v>
      </c>
      <c r="G33" s="85">
        <v>0</v>
      </c>
      <c r="H33" s="85"/>
      <c r="I33" s="85"/>
      <c r="J33" s="84">
        <v>91.5</v>
      </c>
      <c r="K33" s="86"/>
      <c r="L33" s="93" t="e">
        <f>#REF!/$K$47*100</f>
        <v>#REF!</v>
      </c>
      <c r="M33" s="87"/>
      <c r="N33" s="79"/>
      <c r="O33" s="79"/>
      <c r="P33" s="79"/>
      <c r="Q33" s="79"/>
      <c r="R33" s="79"/>
      <c r="S33" s="79"/>
      <c r="T33" s="79"/>
      <c r="U33" s="79"/>
      <c r="V33" s="87"/>
      <c r="W33" s="87"/>
      <c r="X33" s="87"/>
      <c r="Y33" s="87"/>
      <c r="Z33" s="87"/>
      <c r="AA33" s="87"/>
      <c r="AB33" s="79">
        <f t="shared" si="15"/>
        <v>0</v>
      </c>
      <c r="AC33" s="79" t="e">
        <f t="shared" si="2"/>
        <v>#DIV/0!</v>
      </c>
      <c r="AD33" s="79" t="e">
        <f t="shared" si="3"/>
        <v>#DIV/0!</v>
      </c>
      <c r="AE33" s="79">
        <f t="shared" si="4"/>
        <v>0</v>
      </c>
      <c r="AF33" s="87" t="e">
        <f>U33/O33*100</f>
        <v>#DIV/0!</v>
      </c>
      <c r="AG33" s="87" t="e">
        <f>U33/N33*100</f>
        <v>#DIV/0!</v>
      </c>
      <c r="AH33" s="87">
        <f>S33-O33</f>
        <v>0</v>
      </c>
      <c r="AI33" s="87" t="e">
        <f>AF33/$AF$48*100</f>
        <v>#DIV/0!</v>
      </c>
      <c r="AJ33" s="84" t="e">
        <f>AG33/$AG$48*100</f>
        <v>#DIV/0!</v>
      </c>
      <c r="AK33" s="84">
        <f>AH33/$AH$48*100</f>
        <v>0</v>
      </c>
    </row>
    <row r="34" spans="1:37" s="80" customFormat="1" ht="15.75" customHeight="1" x14ac:dyDescent="0.15">
      <c r="A34" s="77" t="s">
        <v>354</v>
      </c>
      <c r="B34" s="78" t="s">
        <v>337</v>
      </c>
      <c r="C34" s="78"/>
      <c r="D34" s="89">
        <f t="shared" ref="D34:R34" si="27">D35+D36+D37</f>
        <v>5961.8180000000002</v>
      </c>
      <c r="E34" s="89">
        <f t="shared" si="27"/>
        <v>7382.8980000000001</v>
      </c>
      <c r="F34" s="89">
        <f t="shared" si="27"/>
        <v>6075.3189999999995</v>
      </c>
      <c r="G34" s="89">
        <f t="shared" si="27"/>
        <v>7261.7</v>
      </c>
      <c r="H34" s="89">
        <f t="shared" si="27"/>
        <v>7232.1</v>
      </c>
      <c r="I34" s="89">
        <f t="shared" si="27"/>
        <v>7412.7</v>
      </c>
      <c r="J34" s="79">
        <f t="shared" si="27"/>
        <v>7043.3</v>
      </c>
      <c r="K34" s="79">
        <f t="shared" si="27"/>
        <v>7111.8</v>
      </c>
      <c r="L34" s="79">
        <f t="shared" si="27"/>
        <v>7254.3</v>
      </c>
      <c r="M34" s="79">
        <f t="shared" si="27"/>
        <v>6875.5</v>
      </c>
      <c r="N34" s="79">
        <f t="shared" si="27"/>
        <v>6836.3</v>
      </c>
      <c r="O34" s="79">
        <f t="shared" si="27"/>
        <v>7726.7</v>
      </c>
      <c r="P34" s="79">
        <f t="shared" si="27"/>
        <v>7726.7</v>
      </c>
      <c r="Q34" s="79">
        <f t="shared" si="27"/>
        <v>7726.7</v>
      </c>
      <c r="R34" s="79">
        <f t="shared" si="27"/>
        <v>7826.7</v>
      </c>
      <c r="S34" s="79">
        <f>S35+S36+S37</f>
        <v>7807.2</v>
      </c>
      <c r="T34" s="79">
        <f t="shared" ref="T34:U34" si="28">T35+T36+T37</f>
        <v>7807.2</v>
      </c>
      <c r="U34" s="79">
        <f t="shared" si="28"/>
        <v>7807.2</v>
      </c>
      <c r="V34" s="79">
        <f t="shared" ref="V34:AA34" si="29">V35+V37</f>
        <v>7888.6</v>
      </c>
      <c r="W34" s="79">
        <f t="shared" si="29"/>
        <v>8108.6</v>
      </c>
      <c r="X34" s="79">
        <f t="shared" si="29"/>
        <v>9647.5</v>
      </c>
      <c r="Y34" s="79">
        <f t="shared" si="29"/>
        <v>9697.5</v>
      </c>
      <c r="Z34" s="79">
        <f>Z35+Z37</f>
        <v>9811.1</v>
      </c>
      <c r="AA34" s="79">
        <f t="shared" si="29"/>
        <v>9811.1</v>
      </c>
      <c r="AB34" s="79">
        <f>AB35+AB37</f>
        <v>9811.1</v>
      </c>
      <c r="AC34" s="79">
        <f t="shared" si="2"/>
        <v>100</v>
      </c>
      <c r="AD34" s="79">
        <f t="shared" si="3"/>
        <v>124.37061075476004</v>
      </c>
      <c r="AE34" s="79">
        <f t="shared" si="4"/>
        <v>9.2045047293278373</v>
      </c>
      <c r="AF34" s="79">
        <f>AF35+AF37</f>
        <v>9301.5</v>
      </c>
      <c r="AG34" s="79">
        <f t="shared" ref="AG34:AH34" si="30">AG35+AG37</f>
        <v>9300.1</v>
      </c>
      <c r="AH34" s="79">
        <f t="shared" si="30"/>
        <v>9298.6</v>
      </c>
      <c r="AI34" s="79">
        <f>AF35/$AF$48*100</f>
        <v>12.357273662223909</v>
      </c>
      <c r="AJ34" s="99">
        <f>AG35/$AG$48*100</f>
        <v>14.368175957478661</v>
      </c>
      <c r="AK34" s="99">
        <f>AH35/$AH$48*100</f>
        <v>14.348323783432694</v>
      </c>
    </row>
    <row r="35" spans="1:37" s="88" customFormat="1" ht="13.5" customHeight="1" x14ac:dyDescent="0.2">
      <c r="A35" s="81" t="s">
        <v>355</v>
      </c>
      <c r="B35" s="82" t="s">
        <v>337</v>
      </c>
      <c r="C35" s="82" t="s">
        <v>300</v>
      </c>
      <c r="D35" s="82" t="s">
        <v>356</v>
      </c>
      <c r="E35" s="83">
        <v>6601.6</v>
      </c>
      <c r="F35" s="92">
        <f>270+2.366+144.033+130.81+7.7+5520.41</f>
        <v>6075.3189999999995</v>
      </c>
      <c r="G35" s="85">
        <v>7248.7</v>
      </c>
      <c r="H35" s="85">
        <v>7232.1</v>
      </c>
      <c r="I35" s="85">
        <v>7412.7</v>
      </c>
      <c r="J35" s="84">
        <v>7003.3</v>
      </c>
      <c r="K35" s="86">
        <v>7111.8</v>
      </c>
      <c r="L35" s="86">
        <v>7254.3</v>
      </c>
      <c r="M35" s="87">
        <v>6875.5</v>
      </c>
      <c r="N35" s="87">
        <v>6514.8</v>
      </c>
      <c r="O35" s="87">
        <v>7288.7</v>
      </c>
      <c r="P35" s="87">
        <v>7371.7</v>
      </c>
      <c r="Q35" s="87">
        <v>7371.7</v>
      </c>
      <c r="R35" s="87">
        <v>7471.7</v>
      </c>
      <c r="S35" s="87">
        <v>7452.2</v>
      </c>
      <c r="T35" s="87">
        <v>7452.2</v>
      </c>
      <c r="U35" s="87">
        <v>7452.2</v>
      </c>
      <c r="V35" s="87">
        <v>7533.6</v>
      </c>
      <c r="W35" s="87">
        <v>7753.6</v>
      </c>
      <c r="X35" s="87">
        <v>9246.5</v>
      </c>
      <c r="Y35" s="87">
        <v>9246.5</v>
      </c>
      <c r="Z35" s="87">
        <v>9360.1</v>
      </c>
      <c r="AA35" s="87">
        <v>9360.1</v>
      </c>
      <c r="AB35" s="87">
        <v>9360.1</v>
      </c>
      <c r="AC35" s="87">
        <f t="shared" si="2"/>
        <v>100</v>
      </c>
      <c r="AD35" s="87">
        <f t="shared" si="3"/>
        <v>124.2447170011681</v>
      </c>
      <c r="AE35" s="79">
        <f t="shared" si="4"/>
        <v>8.781388908173545</v>
      </c>
      <c r="AF35" s="87">
        <v>8927.5</v>
      </c>
      <c r="AG35" s="87">
        <v>8926.1</v>
      </c>
      <c r="AH35" s="87">
        <v>8924.6</v>
      </c>
      <c r="AI35" s="87">
        <f>AF36/$AF$48*100</f>
        <v>0</v>
      </c>
      <c r="AJ35" s="84">
        <f>AG36/$AG$48*100</f>
        <v>0</v>
      </c>
      <c r="AK35" s="84">
        <f>AH36/$AH$48*100</f>
        <v>0</v>
      </c>
    </row>
    <row r="36" spans="1:37" s="88" customFormat="1" ht="15.75" hidden="1" customHeight="1" x14ac:dyDescent="0.2">
      <c r="A36" s="91" t="s">
        <v>357</v>
      </c>
      <c r="B36" s="82" t="s">
        <v>337</v>
      </c>
      <c r="C36" s="82" t="s">
        <v>306</v>
      </c>
      <c r="D36" s="82" t="s">
        <v>358</v>
      </c>
      <c r="E36" s="83">
        <v>208.09800000000001</v>
      </c>
      <c r="F36" s="92">
        <v>0</v>
      </c>
      <c r="G36" s="85"/>
      <c r="H36" s="85"/>
      <c r="I36" s="85"/>
      <c r="J36" s="84"/>
      <c r="K36" s="86"/>
      <c r="L36" s="86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>
        <f t="shared" si="15"/>
        <v>0</v>
      </c>
      <c r="AC36" s="87" t="e">
        <f t="shared" si="2"/>
        <v>#DIV/0!</v>
      </c>
      <c r="AD36" s="87" t="e">
        <f t="shared" si="3"/>
        <v>#DIV/0!</v>
      </c>
      <c r="AE36" s="79">
        <f t="shared" si="4"/>
        <v>0</v>
      </c>
      <c r="AF36" s="87"/>
      <c r="AG36" s="87"/>
      <c r="AH36" s="87"/>
      <c r="AI36" s="87">
        <f>AF37/$AF$48*100</f>
        <v>0.5176836011953786</v>
      </c>
      <c r="AJ36" s="84">
        <f>AG37/$AG$48*100</f>
        <v>0.60202079386260732</v>
      </c>
      <c r="AK36" s="84">
        <f>AH37/$AH$48*100</f>
        <v>0.60129004045042089</v>
      </c>
    </row>
    <row r="37" spans="1:37" s="88" customFormat="1" ht="16.5" customHeight="1" x14ac:dyDescent="0.2">
      <c r="A37" s="91" t="s">
        <v>359</v>
      </c>
      <c r="B37" s="82" t="s">
        <v>337</v>
      </c>
      <c r="C37" s="82" t="s">
        <v>309</v>
      </c>
      <c r="D37" s="82" t="s">
        <v>314</v>
      </c>
      <c r="E37" s="83">
        <v>573.20000000000005</v>
      </c>
      <c r="F37" s="92">
        <v>0</v>
      </c>
      <c r="G37" s="85">
        <v>13</v>
      </c>
      <c r="H37" s="85"/>
      <c r="I37" s="85"/>
      <c r="J37" s="84">
        <v>40</v>
      </c>
      <c r="K37" s="86"/>
      <c r="L37" s="86"/>
      <c r="M37" s="87"/>
      <c r="N37" s="87">
        <v>321.5</v>
      </c>
      <c r="O37" s="87">
        <v>438</v>
      </c>
      <c r="P37" s="87">
        <v>355</v>
      </c>
      <c r="Q37" s="87">
        <v>355</v>
      </c>
      <c r="R37" s="87">
        <v>355</v>
      </c>
      <c r="S37" s="87">
        <v>355</v>
      </c>
      <c r="T37" s="87">
        <v>355</v>
      </c>
      <c r="U37" s="87">
        <v>355</v>
      </c>
      <c r="V37" s="87">
        <v>355</v>
      </c>
      <c r="W37" s="87">
        <v>355</v>
      </c>
      <c r="X37" s="87">
        <v>401</v>
      </c>
      <c r="Y37" s="87">
        <v>451</v>
      </c>
      <c r="Z37" s="87">
        <v>451</v>
      </c>
      <c r="AA37" s="87">
        <v>451</v>
      </c>
      <c r="AB37" s="87">
        <v>451</v>
      </c>
      <c r="AC37" s="87">
        <f t="shared" si="2"/>
        <v>100</v>
      </c>
      <c r="AD37" s="87">
        <f t="shared" si="3"/>
        <v>127.04225352112677</v>
      </c>
      <c r="AE37" s="87">
        <f t="shared" si="4"/>
        <v>0.42311582115428992</v>
      </c>
      <c r="AF37" s="87">
        <v>374</v>
      </c>
      <c r="AG37" s="87">
        <v>374</v>
      </c>
      <c r="AH37" s="87">
        <v>374</v>
      </c>
      <c r="AI37" s="87">
        <f>AF38/$AF$48*100</f>
        <v>0</v>
      </c>
      <c r="AJ37" s="84">
        <f>AG38/$AG$48*100</f>
        <v>0</v>
      </c>
      <c r="AK37" s="84">
        <f>AH38/$AH$48*100</f>
        <v>0</v>
      </c>
    </row>
    <row r="38" spans="1:37" s="88" customFormat="1" ht="15.75" hidden="1" customHeight="1" x14ac:dyDescent="0.2">
      <c r="A38" s="102" t="s">
        <v>360</v>
      </c>
      <c r="B38" s="78" t="s">
        <v>326</v>
      </c>
      <c r="C38" s="78"/>
      <c r="D38" s="82"/>
      <c r="E38" s="83"/>
      <c r="F38" s="92"/>
      <c r="G38" s="85"/>
      <c r="H38" s="85"/>
      <c r="I38" s="85"/>
      <c r="J38" s="84"/>
      <c r="K38" s="86"/>
      <c r="L38" s="93"/>
      <c r="M38" s="93">
        <f>M39</f>
        <v>158</v>
      </c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79">
        <f t="shared" si="15"/>
        <v>0</v>
      </c>
      <c r="AC38" s="79" t="e">
        <f t="shared" si="2"/>
        <v>#DIV/0!</v>
      </c>
      <c r="AD38" s="79" t="e">
        <f t="shared" si="3"/>
        <v>#DIV/0!</v>
      </c>
      <c r="AE38" s="79">
        <f t="shared" si="4"/>
        <v>0</v>
      </c>
      <c r="AF38" s="87"/>
      <c r="AG38" s="87"/>
      <c r="AH38" s="87"/>
      <c r="AI38" s="87" t="e">
        <f>AF39/$AF$48*100</f>
        <v>#DIV/0!</v>
      </c>
      <c r="AJ38" s="84" t="e">
        <f>AG39/$AG$48*100</f>
        <v>#DIV/0!</v>
      </c>
      <c r="AK38" s="84">
        <f>AH39/$AH$48*100</f>
        <v>0</v>
      </c>
    </row>
    <row r="39" spans="1:37" s="88" customFormat="1" ht="15.75" hidden="1" customHeight="1" x14ac:dyDescent="0.2">
      <c r="A39" s="91" t="s">
        <v>361</v>
      </c>
      <c r="B39" s="82" t="s">
        <v>326</v>
      </c>
      <c r="C39" s="82" t="s">
        <v>313</v>
      </c>
      <c r="D39" s="82"/>
      <c r="E39" s="83"/>
      <c r="F39" s="92"/>
      <c r="G39" s="85"/>
      <c r="H39" s="85"/>
      <c r="I39" s="85"/>
      <c r="J39" s="84"/>
      <c r="K39" s="86"/>
      <c r="L39" s="93"/>
      <c r="M39" s="87">
        <v>158</v>
      </c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79">
        <f t="shared" si="15"/>
        <v>0</v>
      </c>
      <c r="AC39" s="79" t="e">
        <f t="shared" si="2"/>
        <v>#DIV/0!</v>
      </c>
      <c r="AD39" s="79" t="e">
        <f t="shared" si="3"/>
        <v>#DIV/0!</v>
      </c>
      <c r="AE39" s="79">
        <f t="shared" si="4"/>
        <v>0</v>
      </c>
      <c r="AF39" s="87" t="e">
        <f>U38/O38*100</f>
        <v>#DIV/0!</v>
      </c>
      <c r="AG39" s="87" t="e">
        <f>U38/N38*100</f>
        <v>#DIV/0!</v>
      </c>
      <c r="AH39" s="87">
        <f>S38-O38</f>
        <v>0</v>
      </c>
      <c r="AI39" s="87">
        <f>AF40/$AF$48*100</f>
        <v>0.33220338044623221</v>
      </c>
      <c r="AJ39" s="84">
        <f>AG40/$AG$48*100</f>
        <v>0.38632350408295657</v>
      </c>
      <c r="AK39" s="84">
        <f>AH40/$AH$48*100</f>
        <v>0.38585457141203483</v>
      </c>
    </row>
    <row r="40" spans="1:37" s="80" customFormat="1" ht="15.75" customHeight="1" x14ac:dyDescent="0.15">
      <c r="A40" s="102" t="s">
        <v>362</v>
      </c>
      <c r="B40" s="78" t="s">
        <v>302</v>
      </c>
      <c r="C40" s="78"/>
      <c r="D40" s="79">
        <f t="shared" ref="D40:AA40" si="31">D41</f>
        <v>0</v>
      </c>
      <c r="E40" s="79">
        <f t="shared" si="31"/>
        <v>0</v>
      </c>
      <c r="F40" s="89">
        <f t="shared" si="31"/>
        <v>0</v>
      </c>
      <c r="G40" s="89">
        <f t="shared" si="31"/>
        <v>42.4</v>
      </c>
      <c r="H40" s="89">
        <f t="shared" si="31"/>
        <v>132.9</v>
      </c>
      <c r="I40" s="89">
        <f t="shared" si="31"/>
        <v>123.2</v>
      </c>
      <c r="J40" s="79">
        <f t="shared" si="31"/>
        <v>137.69999999999999</v>
      </c>
      <c r="K40" s="79">
        <f t="shared" si="31"/>
        <v>197</v>
      </c>
      <c r="L40" s="79">
        <f t="shared" si="31"/>
        <v>240</v>
      </c>
      <c r="M40" s="79">
        <f t="shared" si="31"/>
        <v>240</v>
      </c>
      <c r="N40" s="79">
        <f t="shared" si="31"/>
        <v>240</v>
      </c>
      <c r="O40" s="79">
        <f t="shared" si="31"/>
        <v>240</v>
      </c>
      <c r="P40" s="79">
        <f t="shared" si="31"/>
        <v>240</v>
      </c>
      <c r="Q40" s="79">
        <f t="shared" si="31"/>
        <v>240</v>
      </c>
      <c r="R40" s="79">
        <f t="shared" si="31"/>
        <v>240</v>
      </c>
      <c r="S40" s="79">
        <f t="shared" si="31"/>
        <v>240</v>
      </c>
      <c r="T40" s="79">
        <f t="shared" si="31"/>
        <v>240</v>
      </c>
      <c r="U40" s="79">
        <f t="shared" si="31"/>
        <v>240</v>
      </c>
      <c r="V40" s="79">
        <f t="shared" si="31"/>
        <v>240</v>
      </c>
      <c r="W40" s="79">
        <f t="shared" si="31"/>
        <v>240</v>
      </c>
      <c r="X40" s="79">
        <f t="shared" si="31"/>
        <v>240</v>
      </c>
      <c r="Y40" s="79">
        <f t="shared" si="31"/>
        <v>240</v>
      </c>
      <c r="Z40" s="79">
        <f t="shared" si="31"/>
        <v>240</v>
      </c>
      <c r="AA40" s="79">
        <f t="shared" si="31"/>
        <v>808.4</v>
      </c>
      <c r="AB40" s="79">
        <f>AB41</f>
        <v>277.39999999999998</v>
      </c>
      <c r="AC40" s="79">
        <f t="shared" si="2"/>
        <v>115.58333333333333</v>
      </c>
      <c r="AD40" s="79">
        <f t="shared" si="3"/>
        <v>115.58333333333333</v>
      </c>
      <c r="AE40" s="79">
        <f t="shared" si="4"/>
        <v>0.26024906604922399</v>
      </c>
      <c r="AF40" s="79">
        <f>AF41</f>
        <v>240</v>
      </c>
      <c r="AG40" s="79">
        <f t="shared" ref="AG40:AH40" si="32">AG41</f>
        <v>240</v>
      </c>
      <c r="AH40" s="79">
        <f t="shared" si="32"/>
        <v>240</v>
      </c>
      <c r="AI40" s="79">
        <f>AF41/$AF$48*100</f>
        <v>0.33220338044623221</v>
      </c>
      <c r="AJ40" s="99">
        <f>AG41/$AG$48*100</f>
        <v>0.38632350408295657</v>
      </c>
      <c r="AK40" s="99">
        <f>AH41/$AH$48*100</f>
        <v>0.38585457141203483</v>
      </c>
    </row>
    <row r="41" spans="1:37" s="88" customFormat="1" ht="15.75" customHeight="1" x14ac:dyDescent="0.2">
      <c r="A41" s="91" t="s">
        <v>363</v>
      </c>
      <c r="B41" s="82" t="s">
        <v>302</v>
      </c>
      <c r="C41" s="82" t="s">
        <v>300</v>
      </c>
      <c r="D41" s="103">
        <v>0</v>
      </c>
      <c r="E41" s="103">
        <v>0</v>
      </c>
      <c r="F41" s="92">
        <v>0</v>
      </c>
      <c r="G41" s="85">
        <v>42.4</v>
      </c>
      <c r="H41" s="85">
        <v>132.9</v>
      </c>
      <c r="I41" s="85">
        <v>123.2</v>
      </c>
      <c r="J41" s="84">
        <v>137.69999999999999</v>
      </c>
      <c r="K41" s="86">
        <v>197</v>
      </c>
      <c r="L41" s="86">
        <v>240</v>
      </c>
      <c r="M41" s="87">
        <v>240</v>
      </c>
      <c r="N41" s="87">
        <v>240</v>
      </c>
      <c r="O41" s="87">
        <v>240</v>
      </c>
      <c r="P41" s="87">
        <v>240</v>
      </c>
      <c r="Q41" s="87">
        <v>240</v>
      </c>
      <c r="R41" s="87">
        <v>240</v>
      </c>
      <c r="S41" s="87">
        <v>240</v>
      </c>
      <c r="T41" s="87">
        <v>240</v>
      </c>
      <c r="U41" s="87">
        <v>240</v>
      </c>
      <c r="V41" s="87">
        <v>240</v>
      </c>
      <c r="W41" s="87">
        <v>240</v>
      </c>
      <c r="X41" s="87">
        <v>240</v>
      </c>
      <c r="Y41" s="87">
        <v>240</v>
      </c>
      <c r="Z41" s="87">
        <v>240</v>
      </c>
      <c r="AA41" s="87">
        <v>808.4</v>
      </c>
      <c r="AB41" s="87">
        <v>277.39999999999998</v>
      </c>
      <c r="AC41" s="87">
        <f t="shared" si="2"/>
        <v>115.58333333333333</v>
      </c>
      <c r="AD41" s="87">
        <f t="shared" si="3"/>
        <v>115.58333333333333</v>
      </c>
      <c r="AE41" s="87">
        <f>AB41/$AB$47*100</f>
        <v>0.26024906604922399</v>
      </c>
      <c r="AF41" s="87">
        <v>240</v>
      </c>
      <c r="AG41" s="87">
        <v>240</v>
      </c>
      <c r="AH41" s="87">
        <v>240</v>
      </c>
      <c r="AI41" s="87">
        <f>AF42/$AF$48*100</f>
        <v>8.9418076570110833E-2</v>
      </c>
      <c r="AJ41" s="84">
        <f>AG42/$AG$48*100</f>
        <v>0.10398540984899579</v>
      </c>
      <c r="AK41" s="84">
        <f>AH42/$AH$48*100</f>
        <v>0.10385918880507269</v>
      </c>
    </row>
    <row r="42" spans="1:37" s="80" customFormat="1" ht="15.75" customHeight="1" x14ac:dyDescent="0.15">
      <c r="A42" s="77" t="s">
        <v>364</v>
      </c>
      <c r="B42" s="78" t="s">
        <v>316</v>
      </c>
      <c r="C42" s="78"/>
      <c r="D42" s="104">
        <f t="shared" ref="D42:K42" si="33">D43+D44</f>
        <v>34.375999999999998</v>
      </c>
      <c r="E42" s="104">
        <f t="shared" si="33"/>
        <v>103.78</v>
      </c>
      <c r="F42" s="89">
        <f t="shared" si="33"/>
        <v>102</v>
      </c>
      <c r="G42" s="89">
        <f t="shared" si="33"/>
        <v>145</v>
      </c>
      <c r="H42" s="89">
        <f t="shared" si="33"/>
        <v>102</v>
      </c>
      <c r="I42" s="89">
        <f t="shared" si="33"/>
        <v>99</v>
      </c>
      <c r="J42" s="79">
        <f t="shared" si="33"/>
        <v>95</v>
      </c>
      <c r="K42" s="79">
        <f t="shared" si="33"/>
        <v>94</v>
      </c>
      <c r="L42" s="79">
        <f>L43</f>
        <v>68</v>
      </c>
      <c r="M42" s="79">
        <f t="shared" ref="M42:R42" si="34">M43+M44</f>
        <v>68</v>
      </c>
      <c r="N42" s="79">
        <f t="shared" si="34"/>
        <v>67</v>
      </c>
      <c r="O42" s="79">
        <f t="shared" si="34"/>
        <v>67</v>
      </c>
      <c r="P42" s="79">
        <f t="shared" si="34"/>
        <v>67</v>
      </c>
      <c r="Q42" s="79">
        <f t="shared" si="34"/>
        <v>67</v>
      </c>
      <c r="R42" s="79">
        <f t="shared" si="34"/>
        <v>67</v>
      </c>
      <c r="S42" s="79">
        <f>S43+S44</f>
        <v>67</v>
      </c>
      <c r="T42" s="79">
        <f t="shared" ref="T42:U42" si="35">T43+T44</f>
        <v>67</v>
      </c>
      <c r="U42" s="79">
        <f t="shared" si="35"/>
        <v>67</v>
      </c>
      <c r="V42" s="79">
        <f>V43</f>
        <v>65.7</v>
      </c>
      <c r="W42" s="79">
        <f>W43</f>
        <v>65.7</v>
      </c>
      <c r="X42" s="79">
        <f>X43+X44</f>
        <v>15696.7</v>
      </c>
      <c r="Y42" s="79">
        <f>Y43+Y44</f>
        <v>16330.3</v>
      </c>
      <c r="Z42" s="79">
        <f>Z43+Z44</f>
        <v>16330.2</v>
      </c>
      <c r="AA42" s="79">
        <f>AA43+AA44</f>
        <v>16358.2</v>
      </c>
      <c r="AB42" s="79">
        <f>AB43+AB44</f>
        <v>16330.2</v>
      </c>
      <c r="AC42" s="79">
        <f>AB42/Z42*100</f>
        <v>100</v>
      </c>
      <c r="AD42" s="79">
        <f>AB42/V42*100</f>
        <v>24855.707762557078</v>
      </c>
      <c r="AE42" s="79">
        <f t="shared" si="4"/>
        <v>15.32054541599509</v>
      </c>
      <c r="AF42" s="79">
        <f>AF43+AF44</f>
        <v>64.599999999999994</v>
      </c>
      <c r="AG42" s="79">
        <f>AG43+AG44</f>
        <v>64.599999999999994</v>
      </c>
      <c r="AH42" s="79">
        <f>AH43+AH44</f>
        <v>64.599999999999994</v>
      </c>
      <c r="AI42" s="79">
        <f>AF43/$AF$48*100</f>
        <v>0</v>
      </c>
      <c r="AJ42" s="99">
        <f>AG43/$AG$48*100</f>
        <v>0</v>
      </c>
      <c r="AK42" s="99">
        <f>AH43/$AH$48*100</f>
        <v>0</v>
      </c>
    </row>
    <row r="43" spans="1:37" s="88" customFormat="1" ht="15" customHeight="1" x14ac:dyDescent="0.2">
      <c r="A43" s="81" t="s">
        <v>365</v>
      </c>
      <c r="B43" s="82" t="s">
        <v>316</v>
      </c>
      <c r="C43" s="82" t="s">
        <v>300</v>
      </c>
      <c r="D43" s="82" t="s">
        <v>366</v>
      </c>
      <c r="E43" s="83">
        <v>88.78</v>
      </c>
      <c r="F43" s="92">
        <v>77</v>
      </c>
      <c r="G43" s="85">
        <v>145</v>
      </c>
      <c r="H43" s="85">
        <v>102</v>
      </c>
      <c r="I43" s="85">
        <v>99</v>
      </c>
      <c r="J43" s="84">
        <v>95</v>
      </c>
      <c r="K43" s="86">
        <v>94</v>
      </c>
      <c r="L43" s="86">
        <v>68</v>
      </c>
      <c r="M43" s="87">
        <v>68</v>
      </c>
      <c r="N43" s="87">
        <v>67</v>
      </c>
      <c r="O43" s="87">
        <v>67</v>
      </c>
      <c r="P43" s="87">
        <v>67</v>
      </c>
      <c r="Q43" s="87">
        <v>67</v>
      </c>
      <c r="R43" s="87">
        <v>67</v>
      </c>
      <c r="S43" s="87">
        <v>67</v>
      </c>
      <c r="T43" s="87">
        <v>67</v>
      </c>
      <c r="U43" s="87">
        <v>67</v>
      </c>
      <c r="V43" s="87">
        <v>65.7</v>
      </c>
      <c r="W43" s="87">
        <v>65.7</v>
      </c>
      <c r="X43" s="87">
        <v>0</v>
      </c>
      <c r="Y43" s="87"/>
      <c r="Z43" s="87"/>
      <c r="AA43" s="87"/>
      <c r="AB43" s="87"/>
      <c r="AC43" s="87"/>
      <c r="AD43" s="87">
        <f t="shared" si="3"/>
        <v>0</v>
      </c>
      <c r="AE43" s="87">
        <f t="shared" si="4"/>
        <v>0</v>
      </c>
      <c r="AF43" s="87"/>
      <c r="AG43" s="87"/>
      <c r="AH43" s="87"/>
      <c r="AI43" s="87">
        <f>AF44/$AF$48*100</f>
        <v>8.9418076570110833E-2</v>
      </c>
      <c r="AJ43" s="84">
        <f>AG44/$AG$48*100</f>
        <v>0.10398540984899579</v>
      </c>
      <c r="AK43" s="84">
        <f>AH44/$AH$48*100</f>
        <v>0.10385918880507269</v>
      </c>
    </row>
    <row r="44" spans="1:37" s="88" customFormat="1" ht="15.75" customHeight="1" x14ac:dyDescent="0.2">
      <c r="A44" s="105" t="s">
        <v>367</v>
      </c>
      <c r="B44" s="82" t="s">
        <v>316</v>
      </c>
      <c r="C44" s="82" t="s">
        <v>306</v>
      </c>
      <c r="D44" s="82" t="s">
        <v>314</v>
      </c>
      <c r="E44" s="83">
        <v>15</v>
      </c>
      <c r="F44" s="92">
        <v>25</v>
      </c>
      <c r="G44" s="85"/>
      <c r="H44" s="85"/>
      <c r="I44" s="85"/>
      <c r="J44" s="84"/>
      <c r="K44" s="86"/>
      <c r="L44" s="86" t="e">
        <f>#REF!/$K$47*100</f>
        <v>#REF!</v>
      </c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>
        <v>15696.7</v>
      </c>
      <c r="Y44" s="87">
        <v>16330.3</v>
      </c>
      <c r="Z44" s="87">
        <v>16330.2</v>
      </c>
      <c r="AA44" s="87">
        <v>16358.2</v>
      </c>
      <c r="AB44" s="87">
        <v>16330.2</v>
      </c>
      <c r="AC44" s="87">
        <f t="shared" si="2"/>
        <v>100</v>
      </c>
      <c r="AD44" s="87"/>
      <c r="AE44" s="87">
        <f t="shared" si="4"/>
        <v>15.32054541599509</v>
      </c>
      <c r="AF44" s="87">
        <v>64.599999999999994</v>
      </c>
      <c r="AG44" s="87">
        <v>64.599999999999994</v>
      </c>
      <c r="AH44" s="87">
        <v>64.599999999999994</v>
      </c>
      <c r="AI44" s="87">
        <f>AF45/$AF$48*100</f>
        <v>0</v>
      </c>
      <c r="AJ44" s="84">
        <f>AG45/$AG$48*100</f>
        <v>0</v>
      </c>
      <c r="AK44" s="84">
        <f>AH45/$AH$48*100</f>
        <v>0</v>
      </c>
    </row>
    <row r="45" spans="1:37" s="88" customFormat="1" ht="15.75" hidden="1" customHeight="1" x14ac:dyDescent="0.2">
      <c r="A45" s="106" t="s">
        <v>368</v>
      </c>
      <c r="B45" s="107">
        <v>14</v>
      </c>
      <c r="C45" s="82"/>
      <c r="D45" s="83" t="str">
        <f>D46</f>
        <v>0</v>
      </c>
      <c r="E45" s="83">
        <f>E46</f>
        <v>59.262999999999998</v>
      </c>
      <c r="F45" s="83">
        <f>F46</f>
        <v>1942.8</v>
      </c>
      <c r="G45" s="83">
        <f>G46</f>
        <v>863.7</v>
      </c>
      <c r="H45" s="83"/>
      <c r="I45" s="83"/>
      <c r="J45" s="87" t="e">
        <f>J46+J47+#REF!+#REF!+#REF!</f>
        <v>#REF!</v>
      </c>
      <c r="K45" s="86"/>
      <c r="L45" s="93" t="e">
        <f>#REF!/$K$47*100</f>
        <v>#REF!</v>
      </c>
      <c r="M45" s="87"/>
      <c r="N45" s="87"/>
      <c r="O45" s="79"/>
      <c r="P45" s="79"/>
      <c r="Q45" s="79"/>
      <c r="R45" s="79"/>
      <c r="S45" s="79"/>
      <c r="T45" s="79"/>
      <c r="U45" s="79"/>
      <c r="V45" s="87"/>
      <c r="W45" s="87"/>
      <c r="X45" s="87"/>
      <c r="Y45" s="87"/>
      <c r="Z45" s="87"/>
      <c r="AA45" s="87"/>
      <c r="AB45" s="79">
        <f t="shared" si="15"/>
        <v>0</v>
      </c>
      <c r="AC45" s="79" t="e">
        <f t="shared" si="2"/>
        <v>#DIV/0!</v>
      </c>
      <c r="AD45" s="79" t="e">
        <f t="shared" si="3"/>
        <v>#DIV/0!</v>
      </c>
      <c r="AE45" s="79">
        <f t="shared" si="4"/>
        <v>0</v>
      </c>
      <c r="AF45" s="87"/>
      <c r="AG45" s="87"/>
      <c r="AH45" s="87"/>
      <c r="AI45" s="87" t="e">
        <f>AF46/$AF$48*100</f>
        <v>#DIV/0!</v>
      </c>
      <c r="AJ45" s="84" t="e">
        <f>AG46/$AG$48*100</f>
        <v>#DIV/0!</v>
      </c>
      <c r="AK45" s="84">
        <f>AH46/$AH$48*100</f>
        <v>0</v>
      </c>
    </row>
    <row r="46" spans="1:37" s="88" customFormat="1" ht="15.75" hidden="1" customHeight="1" x14ac:dyDescent="0.2">
      <c r="A46" s="108" t="s">
        <v>369</v>
      </c>
      <c r="B46" s="107">
        <v>14</v>
      </c>
      <c r="C46" s="82" t="s">
        <v>301</v>
      </c>
      <c r="D46" s="82" t="s">
        <v>314</v>
      </c>
      <c r="E46" s="83">
        <v>59.262999999999998</v>
      </c>
      <c r="F46" s="92">
        <v>1942.8</v>
      </c>
      <c r="G46" s="85">
        <v>863.7</v>
      </c>
      <c r="H46" s="85"/>
      <c r="I46" s="85"/>
      <c r="J46" s="84" t="e">
        <f>J47+#REF!+#REF!+#REF!+#REF!</f>
        <v>#REF!</v>
      </c>
      <c r="K46" s="86"/>
      <c r="L46" s="93" t="e">
        <f>#REF!/$K$47*100</f>
        <v>#REF!</v>
      </c>
      <c r="M46" s="87"/>
      <c r="N46" s="87"/>
      <c r="O46" s="79"/>
      <c r="P46" s="79"/>
      <c r="Q46" s="79"/>
      <c r="R46" s="79"/>
      <c r="S46" s="79"/>
      <c r="T46" s="79"/>
      <c r="U46" s="79"/>
      <c r="V46" s="87"/>
      <c r="W46" s="87"/>
      <c r="X46" s="87"/>
      <c r="Y46" s="87"/>
      <c r="Z46" s="87"/>
      <c r="AA46" s="87"/>
      <c r="AB46" s="79">
        <f t="shared" si="15"/>
        <v>0</v>
      </c>
      <c r="AC46" s="79" t="e">
        <f t="shared" si="2"/>
        <v>#DIV/0!</v>
      </c>
      <c r="AD46" s="79" t="e">
        <f t="shared" si="3"/>
        <v>#DIV/0!</v>
      </c>
      <c r="AE46" s="79">
        <f t="shared" si="4"/>
        <v>0</v>
      </c>
      <c r="AF46" s="87" t="e">
        <f>U45/O45*100</f>
        <v>#DIV/0!</v>
      </c>
      <c r="AG46" s="87" t="e">
        <f>U45/N45*100</f>
        <v>#DIV/0!</v>
      </c>
      <c r="AH46" s="87">
        <f>S45-O45</f>
        <v>0</v>
      </c>
      <c r="AI46" s="87">
        <f>AF47/$AF$48*100</f>
        <v>100.00000000000003</v>
      </c>
      <c r="AJ46" s="84">
        <f>AG47/$AG$48*100</f>
        <v>100.00000000000003</v>
      </c>
      <c r="AK46" s="84">
        <f>AH47/$AH$48*100</f>
        <v>100.00000000000003</v>
      </c>
    </row>
    <row r="47" spans="1:37" s="80" customFormat="1" ht="16.5" customHeight="1" x14ac:dyDescent="0.15">
      <c r="A47" s="77" t="s">
        <v>370</v>
      </c>
      <c r="B47" s="109"/>
      <c r="C47" s="109"/>
      <c r="D47" s="89">
        <f>D45+D42+D34+D32+D26+D19+D14+D12+D5</f>
        <v>21523.071</v>
      </c>
      <c r="E47" s="89">
        <f>E45+E42+E34+E32+E26+E19+E14+E12+E5-0.7</f>
        <v>27752.931</v>
      </c>
      <c r="F47" s="89">
        <f>F45+F42+F34+F32+F26+F19+F14+F12+F5</f>
        <v>34079.620999999992</v>
      </c>
      <c r="G47" s="89">
        <f>G45+G42+G34+G32+G26+G19+G14+G12+G5+G40</f>
        <v>29063.3</v>
      </c>
      <c r="H47" s="89">
        <f>H45+H42+H34+H32+H26+H19+H14+H12+H5+H40</f>
        <v>54812.500000000007</v>
      </c>
      <c r="I47" s="89">
        <f>I45+I42+I34+I32+I26+I19+I14+I12+I5+I40-1</f>
        <v>57638.999999999993</v>
      </c>
      <c r="J47" s="79">
        <f>J42+J40+J34+J32+J26+J19+J14+J12+J5</f>
        <v>74679</v>
      </c>
      <c r="K47" s="79">
        <f>K42+K40+K34+K32+K26+K19+K14+K12+K5+K30</f>
        <v>59982.54</v>
      </c>
      <c r="L47" s="79">
        <v>60834.3</v>
      </c>
      <c r="M47" s="79">
        <f t="shared" ref="M47:N47" si="36">M42+M40+M34+M32+M26+M19+M14+M12+M5+M30+M38</f>
        <v>100798.69999999998</v>
      </c>
      <c r="N47" s="79">
        <f t="shared" si="36"/>
        <v>73503</v>
      </c>
      <c r="O47" s="79">
        <f>O42+O40+O34+O32+O26+O19+O14+O12+O5+O30+O38</f>
        <v>66286.600000000006</v>
      </c>
      <c r="P47" s="79">
        <f t="shared" ref="P47:R47" si="37">P42+P40+P34+P32+P26+P19+P14+P12+P5+P30+P38</f>
        <v>77761.8</v>
      </c>
      <c r="Q47" s="79">
        <f t="shared" si="37"/>
        <v>84339.700000000012</v>
      </c>
      <c r="R47" s="79">
        <f t="shared" si="37"/>
        <v>94951.4</v>
      </c>
      <c r="S47" s="79">
        <f>S42+S40+S34+S32+S26+S19+S14+S12+S5+S30+S38-0.2</f>
        <v>99291</v>
      </c>
      <c r="T47" s="79">
        <f>T42+T40+T34+T32+T26+T19+T14+T12+T5+T30+T38+0.1</f>
        <v>99291.000000000015</v>
      </c>
      <c r="U47" s="79">
        <f>U42+U40+U34+U32+U26+U19+U14+U12+U5+U30+U38+0.1</f>
        <v>93315.4</v>
      </c>
      <c r="V47" s="79">
        <f>V42+V40+V34+V30+V26+V19+V14+V12+V5</f>
        <v>65068.800000000003</v>
      </c>
      <c r="W47" s="79">
        <f t="shared" ref="W47:AA47" si="38">W42+W40+W34+W30+W26+W19+W14+W12+W5</f>
        <v>74671.899999999994</v>
      </c>
      <c r="X47" s="79">
        <f t="shared" si="38"/>
        <v>94830.5</v>
      </c>
      <c r="Y47" s="79">
        <f t="shared" si="38"/>
        <v>96106.4</v>
      </c>
      <c r="Z47" s="79">
        <f>Z42+Z40+Z34+Z30+Z26+Z19+Z14+Z12+Z5</f>
        <v>103067.19999999998</v>
      </c>
      <c r="AA47" s="79">
        <f t="shared" si="38"/>
        <v>107417.2</v>
      </c>
      <c r="AB47" s="79">
        <f>AB42+AB40+AB34+AB30+AB26+AB19+AB14+AB12+AB5</f>
        <v>106590.20000000001</v>
      </c>
      <c r="AC47" s="79">
        <f t="shared" si="2"/>
        <v>103.41815825015139</v>
      </c>
      <c r="AD47" s="79">
        <f t="shared" si="3"/>
        <v>163.81153486770927</v>
      </c>
      <c r="AE47" s="79">
        <f t="shared" si="4"/>
        <v>100</v>
      </c>
      <c r="AF47" s="79">
        <f t="shared" ref="AF47:AH47" si="39">AF42+AF40+AF34+AF30+AF26+AF19+AF14+AF12+AF5</f>
        <v>72244.900000000009</v>
      </c>
      <c r="AG47" s="79">
        <f t="shared" si="39"/>
        <v>62124.100000000006</v>
      </c>
      <c r="AH47" s="79">
        <f t="shared" si="39"/>
        <v>62199.600000000006</v>
      </c>
      <c r="AI47" s="79">
        <f>AF48/$AF$48*100</f>
        <v>100</v>
      </c>
      <c r="AJ47" s="99">
        <f>AG48/$AG$48*100</f>
        <v>100</v>
      </c>
      <c r="AK47" s="99">
        <f>AH48/$AH$48*100</f>
        <v>100</v>
      </c>
    </row>
    <row r="48" spans="1:37" ht="14.25" hidden="1" customHeight="1" x14ac:dyDescent="0.2">
      <c r="E48" s="61"/>
      <c r="F48" s="110"/>
      <c r="H48" s="63"/>
      <c r="J48" s="63">
        <v>74678.899999999994</v>
      </c>
      <c r="K48" s="61">
        <v>59982.51</v>
      </c>
      <c r="L48" s="62">
        <v>60834.3</v>
      </c>
      <c r="M48" s="63">
        <v>100798.7</v>
      </c>
      <c r="N48" s="63">
        <v>73503</v>
      </c>
      <c r="O48" s="63">
        <v>66286.600000000006</v>
      </c>
      <c r="P48" s="63">
        <v>77761.8</v>
      </c>
      <c r="Q48" s="63">
        <v>84339.7</v>
      </c>
      <c r="R48" s="63">
        <v>94951.4</v>
      </c>
      <c r="S48" s="63">
        <v>99291</v>
      </c>
      <c r="T48" s="63">
        <v>99291</v>
      </c>
      <c r="U48" s="63">
        <v>93315.4</v>
      </c>
      <c r="V48" s="63">
        <v>65068.800000000003</v>
      </c>
      <c r="W48" s="63">
        <v>74671.899999999994</v>
      </c>
      <c r="X48" s="63">
        <v>94830.5</v>
      </c>
      <c r="Y48" s="63">
        <v>96106.4</v>
      </c>
      <c r="Z48" s="63">
        <v>103067.2</v>
      </c>
      <c r="AA48" s="63">
        <v>107417.2</v>
      </c>
      <c r="AB48" s="87">
        <v>106590.2</v>
      </c>
      <c r="AC48" s="87"/>
      <c r="AD48" s="87"/>
      <c r="AE48" s="87"/>
      <c r="AF48" s="79">
        <v>72244.899999999994</v>
      </c>
      <c r="AG48" s="79">
        <v>62124.1</v>
      </c>
      <c r="AH48" s="79">
        <v>62199.6</v>
      </c>
      <c r="AI48" s="63"/>
    </row>
    <row r="49" spans="5:35" ht="15.75" hidden="1" customHeight="1" x14ac:dyDescent="0.2">
      <c r="E49" s="61"/>
      <c r="F49" s="111"/>
      <c r="H49" s="63"/>
      <c r="J49" s="112">
        <f>J47-J48</f>
        <v>0.10000000000582077</v>
      </c>
      <c r="K49" s="113">
        <f>K47-K48</f>
        <v>2.9999999998835847E-2</v>
      </c>
      <c r="L49" s="113">
        <f>L47-L48</f>
        <v>0</v>
      </c>
      <c r="M49" s="113">
        <f t="shared" ref="M49:R49" si="40">M47-M48</f>
        <v>0</v>
      </c>
      <c r="N49" s="113">
        <f t="shared" si="40"/>
        <v>0</v>
      </c>
      <c r="O49" s="113">
        <f t="shared" si="40"/>
        <v>0</v>
      </c>
      <c r="P49" s="113">
        <f t="shared" si="40"/>
        <v>0</v>
      </c>
      <c r="Q49" s="113">
        <f t="shared" si="40"/>
        <v>0</v>
      </c>
      <c r="R49" s="113">
        <f t="shared" si="40"/>
        <v>0</v>
      </c>
      <c r="S49" s="113">
        <f>S47-S48</f>
        <v>0</v>
      </c>
      <c r="T49" s="113">
        <f t="shared" ref="T49:U49" si="41">T47-T48</f>
        <v>0</v>
      </c>
      <c r="U49" s="113">
        <f t="shared" si="41"/>
        <v>0</v>
      </c>
      <c r="V49" s="113"/>
      <c r="W49" s="113"/>
      <c r="X49" s="113">
        <f>X47-X48</f>
        <v>0</v>
      </c>
      <c r="Y49" s="113">
        <f>Y47-Y48</f>
        <v>0</v>
      </c>
      <c r="Z49" s="113">
        <f>Z47-Z48</f>
        <v>0</v>
      </c>
      <c r="AA49" s="113">
        <f>AA47-AA48</f>
        <v>0</v>
      </c>
      <c r="AB49" s="113">
        <f t="shared" ref="AB49:AH49" si="42">AB47-AB48</f>
        <v>0</v>
      </c>
      <c r="AC49" s="113">
        <f t="shared" si="42"/>
        <v>103.41815825015139</v>
      </c>
      <c r="AD49" s="113">
        <f t="shared" si="42"/>
        <v>163.81153486770927</v>
      </c>
      <c r="AE49" s="113">
        <f t="shared" si="42"/>
        <v>100</v>
      </c>
      <c r="AF49" s="113">
        <f>AF47-AF48</f>
        <v>0</v>
      </c>
      <c r="AG49" s="113">
        <f>AG47-AG48</f>
        <v>0</v>
      </c>
      <c r="AH49" s="113">
        <f t="shared" si="42"/>
        <v>0</v>
      </c>
      <c r="AI49" s="113"/>
    </row>
    <row r="50" spans="5:35" hidden="1" x14ac:dyDescent="0.2">
      <c r="E50" s="61"/>
      <c r="F50" s="63"/>
      <c r="H50" s="63"/>
      <c r="J50" s="63"/>
      <c r="AF50" s="114"/>
      <c r="AG50" s="114"/>
      <c r="AH50" s="113"/>
    </row>
    <row r="51" spans="5:35" hidden="1" x14ac:dyDescent="0.2">
      <c r="J51" s="63"/>
    </row>
    <row r="52" spans="5:35" x14ac:dyDescent="0.2">
      <c r="J52" s="63"/>
    </row>
    <row r="53" spans="5:35" x14ac:dyDescent="0.2">
      <c r="J53" s="63"/>
      <c r="O53" s="64">
        <f>88/O47*100</f>
        <v>0.13275684678351279</v>
      </c>
    </row>
  </sheetData>
  <mergeCells count="2">
    <mergeCell ref="A3:AK3"/>
    <mergeCell ref="AG2:AK2"/>
  </mergeCells>
  <pageMargins left="0.19685039370078741" right="0.19685039370078741" top="0.19685039370078741" bottom="0.19685039370078741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1</vt:lpstr>
      <vt:lpstr>2</vt:lpstr>
      <vt:lpstr>Лист1</vt:lpstr>
      <vt:lpstr>Лист2</vt:lpstr>
      <vt:lpstr>Лист3</vt:lpstr>
      <vt:lpstr>'1'!Заголовки_для_печати</vt:lpstr>
      <vt:lpstr>'2'!Заголовки_для_печати</vt:lpstr>
      <vt:lpstr>'1'!Область_печати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2023-12-06T11:53:18Z</dcterms:modified>
</cp:coreProperties>
</file>