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1" sheetId="2" r:id="rId1"/>
    <sheet name="2" sheetId="3" r:id="rId2"/>
    <sheet name="Лист1" sheetId="1" r:id="rId3"/>
  </sheets>
  <definedNames>
    <definedName name="_xlnm.Print_Titles" localSheetId="0">'1'!$4:$5</definedName>
    <definedName name="_xlnm.Print_Titles" localSheetId="1">'2'!$A:$C,'2'!$4:$4</definedName>
    <definedName name="_xlnm.Print_Area" localSheetId="0">'1'!$A$1:$CH$128</definedName>
    <definedName name="_xlnm.Print_Area" localSheetId="1">'2'!$P$4:$P$48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7" i="3" l="1"/>
  <c r="AF47" i="3"/>
  <c r="AE47" i="3"/>
  <c r="Q47" i="3"/>
  <c r="AE46" i="3"/>
  <c r="G46" i="3"/>
  <c r="F46" i="3"/>
  <c r="E46" i="3"/>
  <c r="D46" i="3"/>
  <c r="AE45" i="3"/>
  <c r="AE44" i="3"/>
  <c r="AG43" i="3"/>
  <c r="AF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AE42" i="3"/>
  <c r="AG41" i="3"/>
  <c r="AF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AG40" i="3"/>
  <c r="AE40" i="3"/>
  <c r="AE39" i="3"/>
  <c r="Z39" i="3"/>
  <c r="Y39" i="3"/>
  <c r="X39" i="3"/>
  <c r="W39" i="3"/>
  <c r="V39" i="3"/>
  <c r="U39" i="3"/>
  <c r="T39" i="3"/>
  <c r="P39" i="3"/>
  <c r="M39" i="3"/>
  <c r="AE38" i="3"/>
  <c r="AE37" i="3"/>
  <c r="AE36" i="3"/>
  <c r="F36" i="3"/>
  <c r="F35" i="3" s="1"/>
  <c r="AG35" i="3"/>
  <c r="AF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E35" i="3"/>
  <c r="D35" i="3"/>
  <c r="AG34" i="3"/>
  <c r="AF34" i="3"/>
  <c r="AE34" i="3"/>
  <c r="AE33" i="3"/>
  <c r="AG32" i="3"/>
  <c r="Z32" i="3"/>
  <c r="Y32" i="3"/>
  <c r="X32" i="3"/>
  <c r="W32" i="3"/>
  <c r="V32" i="3"/>
  <c r="U32" i="3"/>
  <c r="T32" i="3"/>
  <c r="S32" i="3"/>
  <c r="R32" i="3"/>
  <c r="J32" i="3"/>
  <c r="I32" i="3"/>
  <c r="H32" i="3"/>
  <c r="G32" i="3"/>
  <c r="F32" i="3"/>
  <c r="E32" i="3"/>
  <c r="D32" i="3"/>
  <c r="AG30" i="3"/>
  <c r="AF30" i="3"/>
  <c r="Z30" i="3"/>
  <c r="Y30" i="3"/>
  <c r="X30" i="3"/>
  <c r="W30" i="3"/>
  <c r="V30" i="3"/>
  <c r="U30" i="3"/>
  <c r="T30" i="3"/>
  <c r="S30" i="3"/>
  <c r="R30" i="3"/>
  <c r="Q30" i="3"/>
  <c r="P30" i="3"/>
  <c r="O30" i="3"/>
  <c r="M30" i="3"/>
  <c r="L30" i="3"/>
  <c r="K30" i="3"/>
  <c r="AE29" i="3"/>
  <c r="F29" i="3"/>
  <c r="AE28" i="3"/>
  <c r="F28" i="3"/>
  <c r="AE27" i="3"/>
  <c r="F27" i="3"/>
  <c r="AG26" i="3"/>
  <c r="AF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E26" i="3"/>
  <c r="D26" i="3"/>
  <c r="AG25" i="3"/>
  <c r="AF25" i="3"/>
  <c r="AE25" i="3"/>
  <c r="Q25" i="3"/>
  <c r="F25" i="3"/>
  <c r="AE24" i="3"/>
  <c r="F24" i="3"/>
  <c r="F19" i="3" s="1"/>
  <c r="AE23" i="3"/>
  <c r="F23" i="3"/>
  <c r="AE22" i="3"/>
  <c r="AE21" i="3"/>
  <c r="AE20" i="3"/>
  <c r="F20" i="3"/>
  <c r="AG19" i="3"/>
  <c r="AF19" i="3"/>
  <c r="Z19" i="3"/>
  <c r="Y19" i="3"/>
  <c r="X19" i="3"/>
  <c r="W19" i="3"/>
  <c r="V19" i="3"/>
  <c r="U19" i="3"/>
  <c r="T19" i="3"/>
  <c r="S19" i="3"/>
  <c r="AE19" i="3" s="1"/>
  <c r="R19" i="3"/>
  <c r="Q19" i="3"/>
  <c r="P19" i="3"/>
  <c r="O19" i="3"/>
  <c r="N19" i="3"/>
  <c r="M19" i="3"/>
  <c r="L19" i="3"/>
  <c r="K19" i="3"/>
  <c r="J19" i="3"/>
  <c r="I19" i="3"/>
  <c r="H19" i="3"/>
  <c r="G19" i="3"/>
  <c r="E19" i="3"/>
  <c r="D19" i="3"/>
  <c r="AE18" i="3"/>
  <c r="AE17" i="3"/>
  <c r="AE16" i="3"/>
  <c r="F16" i="3"/>
  <c r="F14" i="3" s="1"/>
  <c r="AE15" i="3"/>
  <c r="F15" i="3"/>
  <c r="AG14" i="3"/>
  <c r="AF14" i="3"/>
  <c r="AF48" i="3" s="1"/>
  <c r="Z14" i="3"/>
  <c r="Y14" i="3"/>
  <c r="X14" i="3"/>
  <c r="W14" i="3"/>
  <c r="V14" i="3"/>
  <c r="U14" i="3"/>
  <c r="T14" i="3"/>
  <c r="S14" i="3"/>
  <c r="AE14" i="3" s="1"/>
  <c r="R14" i="3"/>
  <c r="Q14" i="3"/>
  <c r="P14" i="3"/>
  <c r="O14" i="3"/>
  <c r="N14" i="3"/>
  <c r="M14" i="3"/>
  <c r="L14" i="3"/>
  <c r="K14" i="3"/>
  <c r="J14" i="3"/>
  <c r="I14" i="3"/>
  <c r="H14" i="3"/>
  <c r="G14" i="3"/>
  <c r="E14" i="3"/>
  <c r="D14" i="3"/>
  <c r="AE13" i="3"/>
  <c r="F13" i="3"/>
  <c r="AG12" i="3"/>
  <c r="AF12" i="3"/>
  <c r="Z12" i="3"/>
  <c r="Y12" i="3"/>
  <c r="X12" i="3"/>
  <c r="W12" i="3"/>
  <c r="V12" i="3"/>
  <c r="U12" i="3"/>
  <c r="T12" i="3"/>
  <c r="S12" i="3"/>
  <c r="AE12" i="3" s="1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E11" i="3"/>
  <c r="F11" i="3"/>
  <c r="AE10" i="3"/>
  <c r="AE9" i="3"/>
  <c r="F9" i="3"/>
  <c r="AE8" i="3"/>
  <c r="AE7" i="3"/>
  <c r="F7" i="3"/>
  <c r="AE6" i="3"/>
  <c r="F6" i="3"/>
  <c r="AG5" i="3"/>
  <c r="AF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AC19" i="3" l="1"/>
  <c r="AC39" i="3"/>
  <c r="AE5" i="3"/>
  <c r="G48" i="3"/>
  <c r="K48" i="3"/>
  <c r="L34" i="3" s="1"/>
  <c r="F26" i="3"/>
  <c r="F48" i="3" s="1"/>
  <c r="I48" i="3"/>
  <c r="M48" i="3"/>
  <c r="Q48" i="3"/>
  <c r="U48" i="3"/>
  <c r="Y48" i="3"/>
  <c r="H48" i="3"/>
  <c r="P48" i="3"/>
  <c r="T48" i="3"/>
  <c r="X48" i="3"/>
  <c r="AB47" i="3" s="1"/>
  <c r="J48" i="3"/>
  <c r="N48" i="3"/>
  <c r="R48" i="3"/>
  <c r="AG48" i="3"/>
  <c r="AC12" i="3"/>
  <c r="AE32" i="3"/>
  <c r="AE35" i="3"/>
  <c r="AC41" i="3"/>
  <c r="AB40" i="3"/>
  <c r="AB25" i="3"/>
  <c r="AB10" i="3"/>
  <c r="AB36" i="3"/>
  <c r="AB29" i="3"/>
  <c r="AB23" i="3"/>
  <c r="AB32" i="3"/>
  <c r="AB8" i="3"/>
  <c r="AA5" i="3"/>
  <c r="L32" i="3"/>
  <c r="L45" i="3"/>
  <c r="L25" i="3"/>
  <c r="AD39" i="3"/>
  <c r="AC44" i="3"/>
  <c r="AC36" i="3"/>
  <c r="AC33" i="3"/>
  <c r="AC21" i="3"/>
  <c r="AC9" i="3"/>
  <c r="AC34" i="3"/>
  <c r="AC29" i="3"/>
  <c r="AC27" i="3"/>
  <c r="AC23" i="3"/>
  <c r="AC20" i="3"/>
  <c r="AC18" i="3"/>
  <c r="AC15" i="3"/>
  <c r="AC13" i="3"/>
  <c r="AC11" i="3"/>
  <c r="AC6" i="3"/>
  <c r="AC48" i="3"/>
  <c r="AC45" i="3"/>
  <c r="AC38" i="3"/>
  <c r="AC26" i="3"/>
  <c r="AE26" i="3"/>
  <c r="AB30" i="3"/>
  <c r="AC35" i="3"/>
  <c r="AC37" i="3"/>
  <c r="AC42" i="3"/>
  <c r="J47" i="3"/>
  <c r="J46" i="3" s="1"/>
  <c r="V48" i="3"/>
  <c r="D48" i="3"/>
  <c r="AC5" i="3"/>
  <c r="AC7" i="3"/>
  <c r="AC8" i="3"/>
  <c r="AC22" i="3"/>
  <c r="AC24" i="3"/>
  <c r="AC30" i="3"/>
  <c r="AC32" i="3"/>
  <c r="AE41" i="3"/>
  <c r="AB41" i="3"/>
  <c r="O48" i="3"/>
  <c r="S48" i="3"/>
  <c r="W48" i="3"/>
  <c r="AC43" i="3"/>
  <c r="E48" i="3"/>
  <c r="AC46" i="3"/>
  <c r="AC47" i="3"/>
  <c r="AD19" i="3"/>
  <c r="AC14" i="3"/>
  <c r="AC16" i="3"/>
  <c r="AC17" i="3"/>
  <c r="AC31" i="3"/>
  <c r="AD32" i="3"/>
  <c r="AA35" i="3"/>
  <c r="AA43" i="3"/>
  <c r="AE43" i="3"/>
  <c r="Z48" i="3"/>
  <c r="AD14" i="3" s="1"/>
  <c r="AB19" i="3" l="1"/>
  <c r="AB20" i="3"/>
  <c r="AB11" i="3"/>
  <c r="AB38" i="3"/>
  <c r="AB9" i="3"/>
  <c r="AB44" i="3"/>
  <c r="AB16" i="3"/>
  <c r="AB28" i="3"/>
  <c r="AB42" i="3"/>
  <c r="AB26" i="3"/>
  <c r="AB12" i="3"/>
  <c r="AB43" i="3"/>
  <c r="AD43" i="3"/>
  <c r="AB35" i="3"/>
  <c r="L47" i="3"/>
  <c r="L46" i="3"/>
  <c r="AB15" i="3"/>
  <c r="AB17" i="3"/>
  <c r="AB13" i="3"/>
  <c r="AB45" i="3"/>
  <c r="AB21" i="3"/>
  <c r="AB27" i="3"/>
  <c r="AB22" i="3"/>
  <c r="AB31" i="3"/>
  <c r="AB46" i="3"/>
  <c r="AB5" i="3"/>
  <c r="AB39" i="3"/>
  <c r="AD30" i="3"/>
  <c r="AD5" i="3"/>
  <c r="AD12" i="3"/>
  <c r="AB14" i="3"/>
  <c r="AB34" i="3"/>
  <c r="AB18" i="3"/>
  <c r="AB6" i="3"/>
  <c r="AB48" i="3"/>
  <c r="AB33" i="3"/>
  <c r="AB7" i="3"/>
  <c r="AB24" i="3"/>
  <c r="AB37" i="3"/>
  <c r="AC40" i="3"/>
  <c r="AC25" i="3"/>
  <c r="AC28" i="3"/>
  <c r="AC10" i="3"/>
  <c r="AA48" i="3"/>
  <c r="AA45" i="3"/>
  <c r="AA38" i="3"/>
  <c r="AA34" i="3"/>
  <c r="AA17" i="3"/>
  <c r="AA8" i="3"/>
  <c r="AA44" i="3"/>
  <c r="AA36" i="3"/>
  <c r="AA33" i="3"/>
  <c r="AA47" i="3"/>
  <c r="AA46" i="3"/>
  <c r="AA42" i="3"/>
  <c r="AA40" i="3"/>
  <c r="AA37" i="3"/>
  <c r="AA31" i="3"/>
  <c r="AA28" i="3"/>
  <c r="AA25" i="3"/>
  <c r="AA24" i="3"/>
  <c r="AA22" i="3"/>
  <c r="AA16" i="3"/>
  <c r="AA10" i="3"/>
  <c r="AA7" i="3"/>
  <c r="AA29" i="3"/>
  <c r="AA21" i="3"/>
  <c r="AA15" i="3"/>
  <c r="AA9" i="3"/>
  <c r="AA23" i="3"/>
  <c r="AA6" i="3"/>
  <c r="AA27" i="3"/>
  <c r="AA18" i="3"/>
  <c r="AA20" i="3"/>
  <c r="AA13" i="3"/>
  <c r="AA11" i="3"/>
  <c r="AA41" i="3"/>
  <c r="AA30" i="3"/>
  <c r="AA14" i="3"/>
  <c r="AD29" i="3"/>
  <c r="AD27" i="3"/>
  <c r="AD23" i="3"/>
  <c r="AD20" i="3"/>
  <c r="AD18" i="3"/>
  <c r="AD15" i="3"/>
  <c r="AD13" i="3"/>
  <c r="AD11" i="3"/>
  <c r="AD6" i="3"/>
  <c r="AD47" i="3"/>
  <c r="AD46" i="3"/>
  <c r="AD42" i="3"/>
  <c r="AD37" i="3"/>
  <c r="AD31" i="3"/>
  <c r="AD28" i="3"/>
  <c r="AD48" i="3"/>
  <c r="AD45" i="3"/>
  <c r="AD38" i="3"/>
  <c r="AD34" i="3"/>
  <c r="AD17" i="3"/>
  <c r="AD8" i="3"/>
  <c r="AD40" i="3"/>
  <c r="AD36" i="3"/>
  <c r="AD35" i="3"/>
  <c r="AD24" i="3"/>
  <c r="AD22" i="3"/>
  <c r="AD7" i="3"/>
  <c r="AD33" i="3"/>
  <c r="AD9" i="3"/>
  <c r="AD44" i="3"/>
  <c r="AD25" i="3"/>
  <c r="AD10" i="3"/>
  <c r="AD21" i="3"/>
  <c r="AD16" i="3"/>
  <c r="AE48" i="3"/>
  <c r="AD26" i="3"/>
  <c r="AD41" i="3"/>
  <c r="AA32" i="3"/>
  <c r="AA26" i="3"/>
  <c r="AA39" i="3"/>
  <c r="AA12" i="3"/>
  <c r="AA19" i="3"/>
  <c r="BV10" i="2" l="1"/>
  <c r="BV11" i="2"/>
  <c r="BV12" i="2"/>
  <c r="BV13" i="2"/>
  <c r="BV16" i="2"/>
  <c r="BV17" i="2"/>
  <c r="BV18" i="2"/>
  <c r="BV19" i="2"/>
  <c r="BV20" i="2"/>
  <c r="BV23" i="2"/>
  <c r="BV24" i="2"/>
  <c r="BV26" i="2"/>
  <c r="BV27" i="2"/>
  <c r="BV29" i="2"/>
  <c r="BV30" i="2"/>
  <c r="BV31" i="2"/>
  <c r="BV32" i="2"/>
  <c r="BV34" i="2"/>
  <c r="BV35" i="2"/>
  <c r="BV39" i="2"/>
  <c r="BV40" i="2"/>
  <c r="BV41" i="2"/>
  <c r="BV43" i="2"/>
  <c r="BV44" i="2"/>
  <c r="BV46" i="2"/>
  <c r="BV47" i="2"/>
  <c r="BV48" i="2"/>
  <c r="BV49" i="2"/>
  <c r="BV50" i="2"/>
  <c r="BV51" i="2"/>
  <c r="BV52" i="2"/>
  <c r="BV53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71" i="2"/>
  <c r="BV72" i="2"/>
  <c r="BV73" i="2"/>
  <c r="BV74" i="2"/>
  <c r="BV75" i="2"/>
  <c r="BV77" i="2"/>
  <c r="BV78" i="2"/>
  <c r="BV79" i="2"/>
  <c r="BV80" i="2"/>
  <c r="BV81" i="2"/>
  <c r="BV82" i="2"/>
  <c r="BV83" i="2"/>
  <c r="BV84" i="2"/>
  <c r="BV85" i="2"/>
  <c r="BV86" i="2"/>
  <c r="BV87" i="2"/>
  <c r="BV89" i="2"/>
  <c r="BV90" i="2"/>
  <c r="BV91" i="2"/>
  <c r="BV93" i="2"/>
  <c r="BV94" i="2"/>
  <c r="BV95" i="2"/>
  <c r="BV96" i="2"/>
  <c r="BV97" i="2"/>
  <c r="BV98" i="2"/>
  <c r="BV101" i="2"/>
  <c r="BV102" i="2"/>
  <c r="BV103" i="2"/>
  <c r="BV104" i="2"/>
  <c r="BV105" i="2"/>
  <c r="BV106" i="2"/>
  <c r="BV108" i="2"/>
  <c r="BV109" i="2"/>
  <c r="BV110" i="2"/>
  <c r="BV111" i="2"/>
  <c r="BV112" i="2"/>
  <c r="BV113" i="2"/>
  <c r="BV114" i="2"/>
  <c r="BV115" i="2"/>
  <c r="BV117" i="2"/>
  <c r="BV118" i="2"/>
  <c r="BV119" i="2"/>
  <c r="BV121" i="2"/>
  <c r="BV122" i="2"/>
  <c r="BV123" i="2"/>
  <c r="BV124" i="2"/>
  <c r="BZ10" i="2"/>
  <c r="BZ11" i="2"/>
  <c r="BZ12" i="2"/>
  <c r="BZ13" i="2"/>
  <c r="BZ16" i="2"/>
  <c r="BZ17" i="2"/>
  <c r="BZ18" i="2"/>
  <c r="BZ19" i="2"/>
  <c r="BZ20" i="2"/>
  <c r="BZ23" i="2"/>
  <c r="BZ24" i="2"/>
  <c r="BZ26" i="2"/>
  <c r="BZ27" i="2"/>
  <c r="BZ29" i="2"/>
  <c r="BZ30" i="2"/>
  <c r="BZ31" i="2"/>
  <c r="BZ32" i="2"/>
  <c r="BZ33" i="2"/>
  <c r="BZ34" i="2"/>
  <c r="BZ35" i="2"/>
  <c r="BZ39" i="2"/>
  <c r="BZ40" i="2"/>
  <c r="BZ41" i="2"/>
  <c r="BZ43" i="2"/>
  <c r="BZ44" i="2"/>
  <c r="BZ46" i="2"/>
  <c r="BZ47" i="2"/>
  <c r="BZ48" i="2"/>
  <c r="BZ50" i="2"/>
  <c r="BZ51" i="2"/>
  <c r="BZ52" i="2"/>
  <c r="BZ53" i="2"/>
  <c r="BZ55" i="2"/>
  <c r="BZ56" i="2"/>
  <c r="BZ57" i="2"/>
  <c r="BZ58" i="2"/>
  <c r="BZ59" i="2"/>
  <c r="BZ60" i="2"/>
  <c r="BZ61" i="2"/>
  <c r="BZ62" i="2"/>
  <c r="BZ63" i="2"/>
  <c r="BZ65" i="2"/>
  <c r="BZ67" i="2"/>
  <c r="BZ71" i="2"/>
  <c r="BZ74" i="2"/>
  <c r="BZ75" i="2"/>
  <c r="BZ77" i="2"/>
  <c r="BZ78" i="2"/>
  <c r="BZ79" i="2"/>
  <c r="BZ80" i="2"/>
  <c r="BZ81" i="2"/>
  <c r="BZ82" i="2"/>
  <c r="BZ83" i="2"/>
  <c r="BZ84" i="2"/>
  <c r="BZ85" i="2"/>
  <c r="BZ86" i="2"/>
  <c r="BZ87" i="2"/>
  <c r="BZ88" i="2"/>
  <c r="BZ89" i="2"/>
  <c r="BZ90" i="2"/>
  <c r="BZ91" i="2"/>
  <c r="BZ93" i="2"/>
  <c r="BZ94" i="2"/>
  <c r="BZ95" i="2"/>
  <c r="BZ96" i="2"/>
  <c r="BZ97" i="2"/>
  <c r="BZ98" i="2"/>
  <c r="BZ101" i="2"/>
  <c r="BZ103" i="2"/>
  <c r="BZ104" i="2"/>
  <c r="BZ105" i="2"/>
  <c r="BZ106" i="2"/>
  <c r="BZ108" i="2"/>
  <c r="BZ109" i="2"/>
  <c r="BZ110" i="2"/>
  <c r="BZ111" i="2"/>
  <c r="BZ112" i="2"/>
  <c r="BZ113" i="2"/>
  <c r="BZ114" i="2"/>
  <c r="BZ115" i="2"/>
  <c r="BZ116" i="2"/>
  <c r="BZ117" i="2"/>
  <c r="BZ118" i="2"/>
  <c r="BZ119" i="2"/>
  <c r="BZ121" i="2"/>
  <c r="BZ122" i="2"/>
  <c r="BZ123" i="2"/>
  <c r="BZ124" i="2"/>
  <c r="BO122" i="2"/>
  <c r="Q122" i="2"/>
  <c r="U121" i="2"/>
  <c r="M121" i="2"/>
  <c r="C121" i="2"/>
  <c r="BR120" i="2"/>
  <c r="BQ120" i="2"/>
  <c r="BP120" i="2"/>
  <c r="BO120" i="2"/>
  <c r="BN120" i="2"/>
  <c r="BV120" i="2" s="1"/>
  <c r="BM120" i="2"/>
  <c r="BL120" i="2"/>
  <c r="BK120" i="2"/>
  <c r="BJ120" i="2"/>
  <c r="BI120" i="2"/>
  <c r="BH120" i="2"/>
  <c r="BG120" i="2"/>
  <c r="BF120" i="2"/>
  <c r="BE120" i="2"/>
  <c r="BD120" i="2"/>
  <c r="BC120" i="2"/>
  <c r="BC68" i="2" s="1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Q68" i="2" s="1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CH119" i="2"/>
  <c r="CF119" i="2"/>
  <c r="CE119" i="2"/>
  <c r="CC119" i="2"/>
  <c r="CB119" i="2"/>
  <c r="BX119" i="2"/>
  <c r="CH118" i="2"/>
  <c r="CF118" i="2"/>
  <c r="CE118" i="2"/>
  <c r="CC118" i="2"/>
  <c r="CB118" i="2"/>
  <c r="CH117" i="2"/>
  <c r="CF117" i="2"/>
  <c r="CE117" i="2"/>
  <c r="CC117" i="2"/>
  <c r="CB117" i="2"/>
  <c r="BX117" i="2"/>
  <c r="CH116" i="2"/>
  <c r="CF116" i="2"/>
  <c r="CE116" i="2"/>
  <c r="CC116" i="2"/>
  <c r="CB116" i="2"/>
  <c r="BX116" i="2"/>
  <c r="BE116" i="2"/>
  <c r="BV116" i="2" s="1"/>
  <c r="CF115" i="2"/>
  <c r="CE115" i="2"/>
  <c r="CC115" i="2"/>
  <c r="CB115" i="2"/>
  <c r="BX115" i="2"/>
  <c r="CH114" i="2"/>
  <c r="CF114" i="2"/>
  <c r="CE114" i="2"/>
  <c r="CC114" i="2"/>
  <c r="CB114" i="2"/>
  <c r="BX114" i="2"/>
  <c r="CH113" i="2"/>
  <c r="CF113" i="2"/>
  <c r="CE113" i="2"/>
  <c r="CC113" i="2"/>
  <c r="CB113" i="2"/>
  <c r="BX113" i="2"/>
  <c r="CH112" i="2"/>
  <c r="CF112" i="2"/>
  <c r="CE112" i="2"/>
  <c r="CC112" i="2"/>
  <c r="CB112" i="2"/>
  <c r="BX112" i="2"/>
  <c r="CH111" i="2"/>
  <c r="CF111" i="2"/>
  <c r="CE111" i="2"/>
  <c r="CC111" i="2"/>
  <c r="CB111" i="2"/>
  <c r="BX111" i="2"/>
  <c r="CH110" i="2"/>
  <c r="CF110" i="2"/>
  <c r="CE110" i="2"/>
  <c r="CC110" i="2"/>
  <c r="CB110" i="2"/>
  <c r="BX110" i="2"/>
  <c r="CH109" i="2"/>
  <c r="CF109" i="2"/>
  <c r="CE109" i="2"/>
  <c r="CC109" i="2"/>
  <c r="CB109" i="2"/>
  <c r="BX109" i="2"/>
  <c r="CH108" i="2"/>
  <c r="CF108" i="2"/>
  <c r="CE108" i="2"/>
  <c r="CC108" i="2"/>
  <c r="CB108" i="2"/>
  <c r="BX108" i="2"/>
  <c r="CH107" i="2"/>
  <c r="CF107" i="2"/>
  <c r="CE107" i="2"/>
  <c r="CC107" i="2"/>
  <c r="CB107" i="2"/>
  <c r="BX107" i="2"/>
  <c r="BN107" i="2"/>
  <c r="BL107" i="2"/>
  <c r="BE107" i="2"/>
  <c r="AF107" i="2"/>
  <c r="AE107" i="2"/>
  <c r="CH106" i="2"/>
  <c r="CF106" i="2"/>
  <c r="CE106" i="2"/>
  <c r="CC106" i="2"/>
  <c r="CB106" i="2"/>
  <c r="BX106" i="2"/>
  <c r="CH105" i="2"/>
  <c r="CF105" i="2"/>
  <c r="CE105" i="2"/>
  <c r="CC105" i="2"/>
  <c r="CB105" i="2"/>
  <c r="BX105" i="2"/>
  <c r="CH104" i="2"/>
  <c r="CF104" i="2"/>
  <c r="CE104" i="2"/>
  <c r="CC104" i="2"/>
  <c r="CB104" i="2"/>
  <c r="BX104" i="2"/>
  <c r="CH103" i="2"/>
  <c r="CF103" i="2"/>
  <c r="CE103" i="2"/>
  <c r="CC103" i="2"/>
  <c r="CB103" i="2"/>
  <c r="BX103" i="2"/>
  <c r="CH102" i="2"/>
  <c r="CF102" i="2"/>
  <c r="CE102" i="2"/>
  <c r="CC102" i="2"/>
  <c r="BY102" i="2"/>
  <c r="CB102" i="2" s="1"/>
  <c r="BW102" i="2"/>
  <c r="BU102" i="2"/>
  <c r="BT102" i="2"/>
  <c r="AV102" i="2"/>
  <c r="AU102" i="2"/>
  <c r="AT102" i="2"/>
  <c r="AL102" i="2"/>
  <c r="AK102" i="2"/>
  <c r="CH101" i="2"/>
  <c r="CF101" i="2"/>
  <c r="CE101" i="2"/>
  <c r="CC101" i="2"/>
  <c r="CB101" i="2"/>
  <c r="BX101" i="2"/>
  <c r="AF101" i="2"/>
  <c r="AE101" i="2"/>
  <c r="AB101" i="2"/>
  <c r="AA101" i="2"/>
  <c r="CH100" i="2"/>
  <c r="CF100" i="2"/>
  <c r="CE100" i="2"/>
  <c r="CC100" i="2"/>
  <c r="CB100" i="2"/>
  <c r="BW100" i="2"/>
  <c r="BX100" i="2" s="1"/>
  <c r="BT100" i="2"/>
  <c r="BN100" i="2"/>
  <c r="BV100" i="2" s="1"/>
  <c r="BL100" i="2"/>
  <c r="BK100" i="2"/>
  <c r="BJ100" i="2"/>
  <c r="BE100" i="2"/>
  <c r="BD100" i="2"/>
  <c r="BC100" i="2"/>
  <c r="BB100" i="2"/>
  <c r="BA100" i="2"/>
  <c r="AX100" i="2"/>
  <c r="AV100" i="2"/>
  <c r="AU100" i="2"/>
  <c r="AT100" i="2"/>
  <c r="AL100" i="2"/>
  <c r="AK100" i="2"/>
  <c r="L100" i="2"/>
  <c r="K100" i="2"/>
  <c r="CH99" i="2"/>
  <c r="CF99" i="2"/>
  <c r="CE99" i="2"/>
  <c r="CC99" i="2"/>
  <c r="CB99" i="2"/>
  <c r="BX99" i="2"/>
  <c r="BN99" i="2"/>
  <c r="BL99" i="2"/>
  <c r="CH98" i="2"/>
  <c r="CF98" i="2"/>
  <c r="CE98" i="2"/>
  <c r="CC98" i="2"/>
  <c r="CB98" i="2"/>
  <c r="BX98" i="2"/>
  <c r="CH97" i="2"/>
  <c r="CF97" i="2"/>
  <c r="CE97" i="2"/>
  <c r="CC97" i="2"/>
  <c r="CB97" i="2"/>
  <c r="BW97" i="2"/>
  <c r="BN97" i="2"/>
  <c r="BL97" i="2"/>
  <c r="BE97" i="2"/>
  <c r="BD97" i="2"/>
  <c r="BC97" i="2"/>
  <c r="AV97" i="2"/>
  <c r="AU97" i="2"/>
  <c r="AT97" i="2"/>
  <c r="AF97" i="2"/>
  <c r="AE97" i="2"/>
  <c r="H97" i="2"/>
  <c r="CH96" i="2"/>
  <c r="CF96" i="2"/>
  <c r="CE96" i="2"/>
  <c r="CC96" i="2"/>
  <c r="CB96" i="2"/>
  <c r="BX96" i="2"/>
  <c r="BB96" i="2"/>
  <c r="BA96" i="2"/>
  <c r="AX96" i="2"/>
  <c r="AV96" i="2"/>
  <c r="AU96" i="2"/>
  <c r="AT96" i="2"/>
  <c r="AS96" i="2"/>
  <c r="AR96" i="2"/>
  <c r="AF96" i="2"/>
  <c r="AE96" i="2"/>
  <c r="AD96" i="2"/>
  <c r="CH95" i="2"/>
  <c r="CF95" i="2"/>
  <c r="CE95" i="2"/>
  <c r="CC95" i="2"/>
  <c r="CB95" i="2"/>
  <c r="BX95" i="2"/>
  <c r="BC95" i="2"/>
  <c r="T95" i="2"/>
  <c r="S95" i="2"/>
  <c r="R95" i="2"/>
  <c r="R92" i="2" s="1"/>
  <c r="R70" i="2" s="1"/>
  <c r="R68" i="2" s="1"/>
  <c r="Q95" i="2"/>
  <c r="P95" i="2"/>
  <c r="O95" i="2"/>
  <c r="N95" i="2"/>
  <c r="N92" i="2" s="1"/>
  <c r="N70" i="2" s="1"/>
  <c r="N68" i="2" s="1"/>
  <c r="L95" i="2"/>
  <c r="K95" i="2"/>
  <c r="J95" i="2"/>
  <c r="CH94" i="2"/>
  <c r="CF94" i="2"/>
  <c r="CE94" i="2"/>
  <c r="CC94" i="2"/>
  <c r="CB94" i="2"/>
  <c r="BX94" i="2"/>
  <c r="CH93" i="2"/>
  <c r="CF93" i="2"/>
  <c r="CE93" i="2"/>
  <c r="CC93" i="2"/>
  <c r="CB93" i="2"/>
  <c r="BX93" i="2"/>
  <c r="CG92" i="2"/>
  <c r="CG70" i="2" s="1"/>
  <c r="CD92" i="2"/>
  <c r="CA92" i="2"/>
  <c r="BY92" i="2"/>
  <c r="BW92" i="2"/>
  <c r="BU92" i="2"/>
  <c r="BT92" i="2"/>
  <c r="BS92" i="2"/>
  <c r="BR92" i="2"/>
  <c r="BR70" i="2" s="1"/>
  <c r="BR68" i="2" s="1"/>
  <c r="BQ92" i="2"/>
  <c r="BP92" i="2"/>
  <c r="BO92" i="2"/>
  <c r="BN92" i="2"/>
  <c r="BM92" i="2"/>
  <c r="BL92" i="2"/>
  <c r="BK92" i="2"/>
  <c r="BJ92" i="2"/>
  <c r="BI92" i="2"/>
  <c r="BH92" i="2"/>
  <c r="BG92" i="2"/>
  <c r="BF92" i="2"/>
  <c r="BE92" i="2"/>
  <c r="BD92" i="2"/>
  <c r="BC92" i="2"/>
  <c r="AZ92" i="2"/>
  <c r="AZ70" i="2" s="1"/>
  <c r="AZ68" i="2" s="1"/>
  <c r="AY92" i="2"/>
  <c r="AX92" i="2"/>
  <c r="AW92" i="2"/>
  <c r="AV92" i="2"/>
  <c r="AU92" i="2"/>
  <c r="AT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Q92" i="2"/>
  <c r="P92" i="2"/>
  <c r="O92" i="2"/>
  <c r="M92" i="2"/>
  <c r="L92" i="2"/>
  <c r="K92" i="2"/>
  <c r="J92" i="2"/>
  <c r="I92" i="2"/>
  <c r="H92" i="2"/>
  <c r="G92" i="2"/>
  <c r="F92" i="2"/>
  <c r="E92" i="2"/>
  <c r="D92" i="2"/>
  <c r="C92" i="2"/>
  <c r="CH91" i="2"/>
  <c r="CF91" i="2"/>
  <c r="CE91" i="2"/>
  <c r="CC91" i="2"/>
  <c r="CB91" i="2"/>
  <c r="BX91" i="2"/>
  <c r="CH90" i="2"/>
  <c r="CF90" i="2"/>
  <c r="CE90" i="2"/>
  <c r="CC90" i="2"/>
  <c r="CB90" i="2"/>
  <c r="BX90" i="2"/>
  <c r="AJ90" i="2"/>
  <c r="AI90" i="2"/>
  <c r="AI88" i="2" s="1"/>
  <c r="AH90" i="2"/>
  <c r="CH89" i="2"/>
  <c r="CF89" i="2"/>
  <c r="CE89" i="2"/>
  <c r="CC89" i="2"/>
  <c r="CB89" i="2"/>
  <c r="BX89" i="2"/>
  <c r="CG88" i="2"/>
  <c r="CD88" i="2"/>
  <c r="CA88" i="2"/>
  <c r="CB88" i="2" s="1"/>
  <c r="BY88" i="2"/>
  <c r="BX88" i="2"/>
  <c r="BW88" i="2"/>
  <c r="BU88" i="2"/>
  <c r="BT88" i="2"/>
  <c r="BS88" i="2"/>
  <c r="BR88" i="2"/>
  <c r="BQ88" i="2"/>
  <c r="BP88" i="2"/>
  <c r="BO88" i="2"/>
  <c r="BN88" i="2"/>
  <c r="BV88" i="2" s="1"/>
  <c r="BL88" i="2"/>
  <c r="BK88" i="2"/>
  <c r="BJ88" i="2"/>
  <c r="BI88" i="2"/>
  <c r="BH88" i="2"/>
  <c r="BG88" i="2"/>
  <c r="BF88" i="2"/>
  <c r="BE88" i="2"/>
  <c r="BB88" i="2"/>
  <c r="BA88" i="2"/>
  <c r="AZ88" i="2"/>
  <c r="AY88" i="2"/>
  <c r="AX88" i="2"/>
  <c r="AW88" i="2"/>
  <c r="AV88" i="2"/>
  <c r="AV70" i="2" s="1"/>
  <c r="AV68" i="2" s="1"/>
  <c r="AU88" i="2"/>
  <c r="AT88" i="2"/>
  <c r="AP88" i="2"/>
  <c r="AO88" i="2"/>
  <c r="AN88" i="2"/>
  <c r="AM88" i="2"/>
  <c r="AL88" i="2"/>
  <c r="AK88" i="2"/>
  <c r="AJ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Q70" i="2" s="1"/>
  <c r="Q68" i="2" s="1"/>
  <c r="P88" i="2"/>
  <c r="O88" i="2"/>
  <c r="N88" i="2"/>
  <c r="M88" i="2"/>
  <c r="M70" i="2" s="1"/>
  <c r="L88" i="2"/>
  <c r="K88" i="2"/>
  <c r="J88" i="2"/>
  <c r="I88" i="2"/>
  <c r="H88" i="2"/>
  <c r="G88" i="2"/>
  <c r="F88" i="2"/>
  <c r="E88" i="2"/>
  <c r="D88" i="2"/>
  <c r="C88" i="2"/>
  <c r="CH87" i="2"/>
  <c r="CF87" i="2"/>
  <c r="CE87" i="2"/>
  <c r="CC87" i="2"/>
  <c r="CB87" i="2"/>
  <c r="BX87" i="2"/>
  <c r="BM87" i="2"/>
  <c r="CH86" i="2"/>
  <c r="CF86" i="2"/>
  <c r="CE86" i="2"/>
  <c r="CC86" i="2"/>
  <c r="CB86" i="2"/>
  <c r="BX86" i="2"/>
  <c r="CH85" i="2"/>
  <c r="CF85" i="2"/>
  <c r="CE85" i="2"/>
  <c r="CC85" i="2"/>
  <c r="CB85" i="2"/>
  <c r="BX85" i="2"/>
  <c r="CH84" i="2"/>
  <c r="CF84" i="2"/>
  <c r="CE84" i="2"/>
  <c r="CC84" i="2"/>
  <c r="CB84" i="2"/>
  <c r="BX84" i="2"/>
  <c r="CH83" i="2"/>
  <c r="CF83" i="2"/>
  <c r="CE83" i="2"/>
  <c r="CC83" i="2"/>
  <c r="CB83" i="2"/>
  <c r="BX83" i="2"/>
  <c r="F83" i="2"/>
  <c r="CH82" i="2"/>
  <c r="CF82" i="2"/>
  <c r="CE82" i="2"/>
  <c r="CC82" i="2"/>
  <c r="CB82" i="2"/>
  <c r="BX82" i="2"/>
  <c r="CH81" i="2"/>
  <c r="CF81" i="2"/>
  <c r="CE81" i="2"/>
  <c r="CC81" i="2"/>
  <c r="CB81" i="2"/>
  <c r="BX81" i="2"/>
  <c r="CH80" i="2"/>
  <c r="CF80" i="2"/>
  <c r="CE80" i="2"/>
  <c r="CC80" i="2"/>
  <c r="BY80" i="2"/>
  <c r="CB80" i="2" s="1"/>
  <c r="BU80" i="2"/>
  <c r="BU76" i="2" s="1"/>
  <c r="BT80" i="2"/>
  <c r="BK80" i="2"/>
  <c r="BK76" i="2" s="1"/>
  <c r="CH79" i="2"/>
  <c r="CF79" i="2"/>
  <c r="CE79" i="2"/>
  <c r="CC79" i="2"/>
  <c r="CB79" i="2"/>
  <c r="BX79" i="2"/>
  <c r="CH78" i="2"/>
  <c r="CF78" i="2"/>
  <c r="CE78" i="2"/>
  <c r="CC78" i="2"/>
  <c r="CB78" i="2"/>
  <c r="BX78" i="2"/>
  <c r="CH77" i="2"/>
  <c r="CF77" i="2"/>
  <c r="CE77" i="2"/>
  <c r="CC77" i="2"/>
  <c r="CB77" i="2"/>
  <c r="BX77" i="2"/>
  <c r="BW77" i="2"/>
  <c r="CG76" i="2"/>
  <c r="CD76" i="2"/>
  <c r="CA76" i="2"/>
  <c r="CA70" i="2" s="1"/>
  <c r="BW72" i="2" s="1"/>
  <c r="BY76" i="2"/>
  <c r="BW76" i="2"/>
  <c r="BX76" i="2" s="1"/>
  <c r="BT76" i="2"/>
  <c r="BS76" i="2"/>
  <c r="BR76" i="2"/>
  <c r="BQ76" i="2"/>
  <c r="BP76" i="2"/>
  <c r="BO76" i="2"/>
  <c r="BN76" i="2"/>
  <c r="BZ76" i="2" s="1"/>
  <c r="BM76" i="2"/>
  <c r="BL76" i="2"/>
  <c r="BJ76" i="2"/>
  <c r="BI76" i="2"/>
  <c r="BH76" i="2"/>
  <c r="BG76" i="2"/>
  <c r="BF76" i="2"/>
  <c r="BB76" i="2"/>
  <c r="BA76" i="2"/>
  <c r="AZ76" i="2"/>
  <c r="AY76" i="2"/>
  <c r="AY70" i="2" s="1"/>
  <c r="AY68" i="2" s="1"/>
  <c r="AX76" i="2"/>
  <c r="AW76" i="2"/>
  <c r="AV76" i="2"/>
  <c r="AU76" i="2"/>
  <c r="AU70" i="2" s="1"/>
  <c r="AU68" i="2" s="1"/>
  <c r="AT76" i="2"/>
  <c r="AP76" i="2"/>
  <c r="AO76" i="2"/>
  <c r="AN76" i="2"/>
  <c r="AM76" i="2"/>
  <c r="AL76" i="2"/>
  <c r="AK76" i="2"/>
  <c r="I76" i="2"/>
  <c r="H76" i="2"/>
  <c r="G76" i="2"/>
  <c r="F76" i="2"/>
  <c r="E76" i="2"/>
  <c r="D76" i="2"/>
  <c r="C76" i="2"/>
  <c r="CH75" i="2"/>
  <c r="CF75" i="2"/>
  <c r="CE75" i="2"/>
  <c r="CC75" i="2"/>
  <c r="CB75" i="2"/>
  <c r="BX75" i="2"/>
  <c r="Q75" i="2"/>
  <c r="P75" i="2"/>
  <c r="CH74" i="2"/>
  <c r="CF74" i="2"/>
  <c r="CE74" i="2"/>
  <c r="CC74" i="2"/>
  <c r="CB74" i="2"/>
  <c r="BX74" i="2"/>
  <c r="CG73" i="2"/>
  <c r="CD73" i="2"/>
  <c r="CA73" i="2"/>
  <c r="BY73" i="2"/>
  <c r="BW73" i="2"/>
  <c r="BU73" i="2"/>
  <c r="BT73" i="2"/>
  <c r="BS73" i="2"/>
  <c r="BS70" i="2" s="1"/>
  <c r="BR73" i="2"/>
  <c r="BQ73" i="2"/>
  <c r="BP73" i="2"/>
  <c r="BO73" i="2"/>
  <c r="BO70" i="2" s="1"/>
  <c r="BO68" i="2" s="1"/>
  <c r="BN73" i="2"/>
  <c r="BM73" i="2"/>
  <c r="BL73" i="2"/>
  <c r="BL70" i="2" s="1"/>
  <c r="BK73" i="2"/>
  <c r="BJ73" i="2"/>
  <c r="BI73" i="2"/>
  <c r="BH73" i="2"/>
  <c r="BG73" i="2"/>
  <c r="BG70" i="2" s="1"/>
  <c r="BF73" i="2"/>
  <c r="AZ73" i="2"/>
  <c r="AY73" i="2"/>
  <c r="AX73" i="2"/>
  <c r="AX70" i="2" s="1"/>
  <c r="AW73" i="2"/>
  <c r="AV73" i="2"/>
  <c r="AU73" i="2"/>
  <c r="AT73" i="2"/>
  <c r="AT70" i="2" s="1"/>
  <c r="AT68" i="2" s="1"/>
  <c r="AP73" i="2"/>
  <c r="AO73" i="2"/>
  <c r="AN73" i="2"/>
  <c r="AM73" i="2"/>
  <c r="AM70" i="2" s="1"/>
  <c r="AM68" i="2" s="1"/>
  <c r="AL73" i="2"/>
  <c r="AK73" i="2"/>
  <c r="AJ73" i="2"/>
  <c r="AI73" i="2"/>
  <c r="AI70" i="2" s="1"/>
  <c r="AI68" i="2" s="1"/>
  <c r="AH73" i="2"/>
  <c r="AG73" i="2"/>
  <c r="AF73" i="2"/>
  <c r="AE73" i="2"/>
  <c r="AE70" i="2" s="1"/>
  <c r="AE68" i="2" s="1"/>
  <c r="AD73" i="2"/>
  <c r="AC73" i="2"/>
  <c r="AB73" i="2"/>
  <c r="AA73" i="2"/>
  <c r="AA70" i="2" s="1"/>
  <c r="AA68" i="2" s="1"/>
  <c r="Z73" i="2"/>
  <c r="Y73" i="2"/>
  <c r="X73" i="2"/>
  <c r="W73" i="2"/>
  <c r="W70" i="2" s="1"/>
  <c r="W68" i="2" s="1"/>
  <c r="V73" i="2"/>
  <c r="U73" i="2"/>
  <c r="T73" i="2"/>
  <c r="S73" i="2"/>
  <c r="S70" i="2" s="1"/>
  <c r="S68" i="2" s="1"/>
  <c r="R73" i="2"/>
  <c r="Q73" i="2"/>
  <c r="P73" i="2"/>
  <c r="O73" i="2"/>
  <c r="O70" i="2" s="1"/>
  <c r="O68" i="2" s="1"/>
  <c r="N73" i="2"/>
  <c r="M73" i="2"/>
  <c r="L73" i="2"/>
  <c r="K73" i="2"/>
  <c r="K70" i="2" s="1"/>
  <c r="K68" i="2" s="1"/>
  <c r="J73" i="2"/>
  <c r="I73" i="2"/>
  <c r="H73" i="2"/>
  <c r="G73" i="2"/>
  <c r="G70" i="2" s="1"/>
  <c r="G68" i="2" s="1"/>
  <c r="F73" i="2"/>
  <c r="E73" i="2"/>
  <c r="D73" i="2"/>
  <c r="C73" i="2"/>
  <c r="C70" i="2" s="1"/>
  <c r="C68" i="2" s="1"/>
  <c r="CH72" i="2"/>
  <c r="CF72" i="2"/>
  <c r="BU72" i="2"/>
  <c r="BT72" i="2"/>
  <c r="BS72" i="2"/>
  <c r="CH71" i="2"/>
  <c r="CF71" i="2"/>
  <c r="CE71" i="2"/>
  <c r="CC71" i="2"/>
  <c r="CB71" i="2"/>
  <c r="BX71" i="2"/>
  <c r="CD70" i="2"/>
  <c r="BT70" i="2"/>
  <c r="BQ70" i="2"/>
  <c r="BP70" i="2"/>
  <c r="BP72" i="2" s="1"/>
  <c r="BN70" i="2"/>
  <c r="BM70" i="2"/>
  <c r="BI70" i="2"/>
  <c r="BH70" i="2"/>
  <c r="BH68" i="2" s="1"/>
  <c r="BE70" i="2"/>
  <c r="BD70" i="2"/>
  <c r="BC70" i="2"/>
  <c r="BC72" i="2" s="1"/>
  <c r="BB70" i="2"/>
  <c r="BB72" i="2" s="1"/>
  <c r="BA70" i="2"/>
  <c r="BA72" i="2" s="1"/>
  <c r="AW70" i="2"/>
  <c r="AS70" i="2"/>
  <c r="AR70" i="2"/>
  <c r="AR68" i="2" s="1"/>
  <c r="AQ70" i="2"/>
  <c r="AP70" i="2"/>
  <c r="AN70" i="2"/>
  <c r="AN68" i="2" s="1"/>
  <c r="AL70" i="2"/>
  <c r="AJ70" i="2"/>
  <c r="AJ68" i="2" s="1"/>
  <c r="AH70" i="2"/>
  <c r="AF70" i="2"/>
  <c r="AF68" i="2" s="1"/>
  <c r="AD70" i="2"/>
  <c r="AB70" i="2"/>
  <c r="AB68" i="2" s="1"/>
  <c r="Z70" i="2"/>
  <c r="X70" i="2"/>
  <c r="X68" i="2" s="1"/>
  <c r="V70" i="2"/>
  <c r="T70" i="2"/>
  <c r="T68" i="2" s="1"/>
  <c r="P70" i="2"/>
  <c r="P68" i="2" s="1"/>
  <c r="L70" i="2"/>
  <c r="L68" i="2" s="1"/>
  <c r="J70" i="2"/>
  <c r="H70" i="2"/>
  <c r="H68" i="2" s="1"/>
  <c r="F70" i="2"/>
  <c r="D70" i="2"/>
  <c r="D68" i="2" s="1"/>
  <c r="CD68" i="2"/>
  <c r="BT68" i="2"/>
  <c r="BS68" i="2"/>
  <c r="BQ68" i="2"/>
  <c r="BP68" i="2"/>
  <c r="BM68" i="2"/>
  <c r="BI68" i="2"/>
  <c r="BE68" i="2"/>
  <c r="BB68" i="2"/>
  <c r="BA68" i="2"/>
  <c r="AW68" i="2"/>
  <c r="AS68" i="2"/>
  <c r="AP68" i="2"/>
  <c r="AL68" i="2"/>
  <c r="AH68" i="2"/>
  <c r="AD68" i="2"/>
  <c r="Z68" i="2"/>
  <c r="V68" i="2"/>
  <c r="M68" i="2"/>
  <c r="J68" i="2"/>
  <c r="F68" i="2"/>
  <c r="CH67" i="2"/>
  <c r="CF67" i="2"/>
  <c r="CE67" i="2"/>
  <c r="CC67" i="2"/>
  <c r="CB67" i="2"/>
  <c r="BX67" i="2"/>
  <c r="CF66" i="2"/>
  <c r="CE66" i="2"/>
  <c r="CC66" i="2"/>
  <c r="BY66" i="2"/>
  <c r="BW66" i="2"/>
  <c r="BU66" i="2"/>
  <c r="BU64" i="2" s="1"/>
  <c r="BU36" i="2" s="1"/>
  <c r="BT66" i="2"/>
  <c r="CF65" i="2"/>
  <c r="CE65" i="2"/>
  <c r="CC65" i="2"/>
  <c r="CB65" i="2"/>
  <c r="BX65" i="2"/>
  <c r="BW64" i="2"/>
  <c r="BT64" i="2"/>
  <c r="BO64" i="2"/>
  <c r="BN64" i="2"/>
  <c r="BM64" i="2"/>
  <c r="BL64" i="2"/>
  <c r="BL36" i="2" s="1"/>
  <c r="BF64" i="2"/>
  <c r="AM64" i="2"/>
  <c r="Y64" i="2"/>
  <c r="X64" i="2"/>
  <c r="U64" i="2"/>
  <c r="T64" i="2"/>
  <c r="Q64" i="2"/>
  <c r="P64" i="2"/>
  <c r="P36" i="2" s="1"/>
  <c r="M64" i="2"/>
  <c r="L64" i="2"/>
  <c r="CH63" i="2"/>
  <c r="CF63" i="2"/>
  <c r="CE63" i="2"/>
  <c r="CC63" i="2"/>
  <c r="CB63" i="2"/>
  <c r="BX63" i="2"/>
  <c r="CH62" i="2"/>
  <c r="CF62" i="2"/>
  <c r="CE62" i="2"/>
  <c r="CC62" i="2"/>
  <c r="CB62" i="2"/>
  <c r="BX62" i="2"/>
  <c r="CF61" i="2"/>
  <c r="CE61" i="2"/>
  <c r="CC61" i="2"/>
  <c r="CB61" i="2"/>
  <c r="BX61" i="2"/>
  <c r="CH60" i="2"/>
  <c r="CF60" i="2"/>
  <c r="CE60" i="2"/>
  <c r="CC60" i="2"/>
  <c r="CB60" i="2"/>
  <c r="BX60" i="2"/>
  <c r="CH59" i="2"/>
  <c r="CF59" i="2"/>
  <c r="CE59" i="2"/>
  <c r="CC59" i="2"/>
  <c r="CB59" i="2"/>
  <c r="BX59" i="2"/>
  <c r="CH58" i="2"/>
  <c r="CF58" i="2"/>
  <c r="CE58" i="2"/>
  <c r="CC58" i="2"/>
  <c r="CB58" i="2"/>
  <c r="BX58" i="2"/>
  <c r="CH57" i="2"/>
  <c r="CF57" i="2"/>
  <c r="CE57" i="2"/>
  <c r="CC57" i="2"/>
  <c r="CB57" i="2"/>
  <c r="BX57" i="2"/>
  <c r="CH56" i="2"/>
  <c r="CF56" i="2"/>
  <c r="CE56" i="2"/>
  <c r="CC56" i="2"/>
  <c r="CB56" i="2"/>
  <c r="BX56" i="2"/>
  <c r="CH55" i="2"/>
  <c r="CF55" i="2"/>
  <c r="CE55" i="2"/>
  <c r="CC55" i="2"/>
  <c r="CB55" i="2"/>
  <c r="BX55" i="2"/>
  <c r="BY54" i="2"/>
  <c r="BW54" i="2"/>
  <c r="BU54" i="2"/>
  <c r="BT54" i="2"/>
  <c r="BS54" i="2"/>
  <c r="BR54" i="2"/>
  <c r="BQ54" i="2"/>
  <c r="BP54" i="2"/>
  <c r="BO54" i="2"/>
  <c r="BN54" i="2"/>
  <c r="BV54" i="2" s="1"/>
  <c r="BM54" i="2"/>
  <c r="BL54" i="2"/>
  <c r="BK54" i="2"/>
  <c r="BJ54" i="2"/>
  <c r="BI54" i="2"/>
  <c r="BH54" i="2"/>
  <c r="BG54" i="2"/>
  <c r="BF54" i="2"/>
  <c r="BE54" i="2"/>
  <c r="BD54" i="2"/>
  <c r="AZ54" i="2"/>
  <c r="AZ36" i="2" s="1"/>
  <c r="AY54" i="2"/>
  <c r="AX54" i="2"/>
  <c r="AW54" i="2"/>
  <c r="AV54" i="2"/>
  <c r="AU54" i="2"/>
  <c r="AT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CH53" i="2"/>
  <c r="CF53" i="2"/>
  <c r="CE53" i="2"/>
  <c r="CC53" i="2"/>
  <c r="CB53" i="2"/>
  <c r="BX53" i="2"/>
  <c r="CH52" i="2"/>
  <c r="CF52" i="2"/>
  <c r="CE52" i="2"/>
  <c r="CC52" i="2"/>
  <c r="CB52" i="2"/>
  <c r="BX52" i="2"/>
  <c r="CH51" i="2"/>
  <c r="CF51" i="2"/>
  <c r="CE51" i="2"/>
  <c r="CC51" i="2"/>
  <c r="CB51" i="2"/>
  <c r="BX51" i="2"/>
  <c r="CH50" i="2"/>
  <c r="CF50" i="2"/>
  <c r="CE50" i="2"/>
  <c r="CC50" i="2"/>
  <c r="CB50" i="2"/>
  <c r="BX50" i="2"/>
  <c r="U50" i="2"/>
  <c r="CG49" i="2"/>
  <c r="CH49" i="2" s="1"/>
  <c r="CD49" i="2"/>
  <c r="CA49" i="2"/>
  <c r="CE49" i="2" s="1"/>
  <c r="BY49" i="2"/>
  <c r="BZ49" i="2" s="1"/>
  <c r="BX49" i="2"/>
  <c r="BW49" i="2"/>
  <c r="BU49" i="2"/>
  <c r="BR49" i="2"/>
  <c r="BQ49" i="2"/>
  <c r="BQ36" i="2" s="1"/>
  <c r="BP49" i="2"/>
  <c r="BO49" i="2"/>
  <c r="BM49" i="2"/>
  <c r="BK49" i="2"/>
  <c r="BJ49" i="2"/>
  <c r="BI49" i="2"/>
  <c r="BH49" i="2"/>
  <c r="BG49" i="2"/>
  <c r="AZ49" i="2"/>
  <c r="AY49" i="2"/>
  <c r="AX49" i="2"/>
  <c r="AV49" i="2"/>
  <c r="AV36" i="2" s="1"/>
  <c r="AU49" i="2"/>
  <c r="AT49" i="2"/>
  <c r="AP49" i="2"/>
  <c r="AO49" i="2"/>
  <c r="AO36" i="2" s="1"/>
  <c r="AN49" i="2"/>
  <c r="AM49" i="2"/>
  <c r="AL49" i="2"/>
  <c r="AK49" i="2"/>
  <c r="AK36" i="2" s="1"/>
  <c r="AJ49" i="2"/>
  <c r="AI49" i="2"/>
  <c r="AH49" i="2"/>
  <c r="AG49" i="2"/>
  <c r="AG36" i="2" s="1"/>
  <c r="AF49" i="2"/>
  <c r="AE49" i="2"/>
  <c r="AD49" i="2"/>
  <c r="AC49" i="2"/>
  <c r="AC36" i="2" s="1"/>
  <c r="AB49" i="2"/>
  <c r="AA49" i="2"/>
  <c r="Z49" i="2"/>
  <c r="Y49" i="2"/>
  <c r="Y36" i="2" s="1"/>
  <c r="X49" i="2"/>
  <c r="W49" i="2"/>
  <c r="V49" i="2"/>
  <c r="U49" i="2"/>
  <c r="U6" i="2" s="1"/>
  <c r="T49" i="2"/>
  <c r="S49" i="2"/>
  <c r="R49" i="2"/>
  <c r="Q49" i="2"/>
  <c r="O49" i="2"/>
  <c r="N49" i="2"/>
  <c r="M49" i="2"/>
  <c r="L49" i="2"/>
  <c r="L36" i="2" s="1"/>
  <c r="K49" i="2"/>
  <c r="J49" i="2"/>
  <c r="I49" i="2"/>
  <c r="H49" i="2"/>
  <c r="H36" i="2" s="1"/>
  <c r="G49" i="2"/>
  <c r="F49" i="2"/>
  <c r="E49" i="2"/>
  <c r="D49" i="2"/>
  <c r="D36" i="2" s="1"/>
  <c r="C49" i="2"/>
  <c r="CH48" i="2"/>
  <c r="CF48" i="2"/>
  <c r="CE48" i="2"/>
  <c r="CC48" i="2"/>
  <c r="CB48" i="2"/>
  <c r="BX48" i="2"/>
  <c r="CH47" i="2"/>
  <c r="CF47" i="2"/>
  <c r="CE47" i="2"/>
  <c r="CC47" i="2"/>
  <c r="CB47" i="2"/>
  <c r="BX47" i="2"/>
  <c r="CH46" i="2"/>
  <c r="CF46" i="2"/>
  <c r="CE46" i="2"/>
  <c r="CC46" i="2"/>
  <c r="CB46" i="2"/>
  <c r="BX46" i="2"/>
  <c r="CG45" i="2"/>
  <c r="CD45" i="2"/>
  <c r="CA45" i="2"/>
  <c r="BY45" i="2"/>
  <c r="BW45" i="2"/>
  <c r="BX45" i="2" s="1"/>
  <c r="BU45" i="2"/>
  <c r="BT45" i="2"/>
  <c r="BS45" i="2"/>
  <c r="BR45" i="2"/>
  <c r="BQ45" i="2"/>
  <c r="BP45" i="2"/>
  <c r="BO45" i="2"/>
  <c r="BN45" i="2"/>
  <c r="BM45" i="2"/>
  <c r="BL45" i="2"/>
  <c r="BK45" i="2"/>
  <c r="BJ45" i="2"/>
  <c r="BJ36" i="2" s="1"/>
  <c r="BI45" i="2"/>
  <c r="BH45" i="2"/>
  <c r="BG45" i="2"/>
  <c r="BF45" i="2"/>
  <c r="BF36" i="2" s="1"/>
  <c r="BE45" i="2"/>
  <c r="AZ45" i="2"/>
  <c r="AY45" i="2"/>
  <c r="AX45" i="2"/>
  <c r="AX36" i="2" s="1"/>
  <c r="AW45" i="2"/>
  <c r="AV45" i="2"/>
  <c r="AU45" i="2"/>
  <c r="AT45" i="2"/>
  <c r="AT36" i="2" s="1"/>
  <c r="AP45" i="2"/>
  <c r="AO45" i="2"/>
  <c r="AN45" i="2"/>
  <c r="AM45" i="2"/>
  <c r="AM36" i="2" s="1"/>
  <c r="AL45" i="2"/>
  <c r="AK45" i="2"/>
  <c r="AJ45" i="2"/>
  <c r="AI45" i="2"/>
  <c r="AI36" i="2" s="1"/>
  <c r="AH45" i="2"/>
  <c r="AG45" i="2"/>
  <c r="AF45" i="2"/>
  <c r="AE45" i="2"/>
  <c r="AD45" i="2"/>
  <c r="AC45" i="2"/>
  <c r="AB45" i="2"/>
  <c r="AA45" i="2"/>
  <c r="AA36" i="2" s="1"/>
  <c r="Z45" i="2"/>
  <c r="Y45" i="2"/>
  <c r="X45" i="2"/>
  <c r="W45" i="2"/>
  <c r="W36" i="2" s="1"/>
  <c r="V45" i="2"/>
  <c r="U45" i="2"/>
  <c r="T45" i="2"/>
  <c r="S45" i="2"/>
  <c r="R45" i="2"/>
  <c r="Q45" i="2"/>
  <c r="P45" i="2"/>
  <c r="O45" i="2"/>
  <c r="N45" i="2"/>
  <c r="M45" i="2"/>
  <c r="L45" i="2"/>
  <c r="K45" i="2"/>
  <c r="K6" i="2" s="1"/>
  <c r="J45" i="2"/>
  <c r="I45" i="2"/>
  <c r="H45" i="2"/>
  <c r="G45" i="2"/>
  <c r="F45" i="2"/>
  <c r="E45" i="2"/>
  <c r="D45" i="2"/>
  <c r="C45" i="2"/>
  <c r="CH44" i="2"/>
  <c r="CF44" i="2"/>
  <c r="CE44" i="2"/>
  <c r="CC44" i="2"/>
  <c r="CB44" i="2"/>
  <c r="BX44" i="2"/>
  <c r="CH43" i="2"/>
  <c r="CF43" i="2"/>
  <c r="CE43" i="2"/>
  <c r="CC43" i="2"/>
  <c r="CB43" i="2"/>
  <c r="BX43" i="2"/>
  <c r="AC43" i="2"/>
  <c r="U43" i="2"/>
  <c r="U38" i="2" s="1"/>
  <c r="CH42" i="2"/>
  <c r="CF42" i="2"/>
  <c r="CE42" i="2"/>
  <c r="CC42" i="2"/>
  <c r="CB42" i="2"/>
  <c r="BX42" i="2"/>
  <c r="BN42" i="2"/>
  <c r="BV42" i="2" s="1"/>
  <c r="CH41" i="2"/>
  <c r="CF41" i="2"/>
  <c r="CE41" i="2"/>
  <c r="CC41" i="2"/>
  <c r="CB41" i="2"/>
  <c r="BX41" i="2"/>
  <c r="BO41" i="2"/>
  <c r="BO38" i="2" s="1"/>
  <c r="BO36" i="2" s="1"/>
  <c r="AG41" i="2"/>
  <c r="CH40" i="2"/>
  <c r="CF40" i="2"/>
  <c r="CE40" i="2"/>
  <c r="CC40" i="2"/>
  <c r="CB40" i="2"/>
  <c r="BX40" i="2"/>
  <c r="CH39" i="2"/>
  <c r="CF39" i="2"/>
  <c r="CE39" i="2"/>
  <c r="CC39" i="2"/>
  <c r="CB39" i="2"/>
  <c r="BX39" i="2"/>
  <c r="CG38" i="2"/>
  <c r="CD38" i="2"/>
  <c r="CA38" i="2"/>
  <c r="BY38" i="2"/>
  <c r="BW38" i="2"/>
  <c r="BX38" i="2" s="1"/>
  <c r="BU38" i="2"/>
  <c r="BT38" i="2"/>
  <c r="BT36" i="2" s="1"/>
  <c r="BS38" i="2"/>
  <c r="BR38" i="2"/>
  <c r="BQ38" i="2"/>
  <c r="BP38" i="2"/>
  <c r="BP36" i="2" s="1"/>
  <c r="BN38" i="2"/>
  <c r="BZ38" i="2" s="1"/>
  <c r="BM38" i="2"/>
  <c r="BM36" i="2" s="1"/>
  <c r="BL38" i="2"/>
  <c r="BK38" i="2"/>
  <c r="BK6" i="2" s="1"/>
  <c r="BJ38" i="2"/>
  <c r="BI38" i="2"/>
  <c r="BH38" i="2"/>
  <c r="BG38" i="2"/>
  <c r="BG36" i="2" s="1"/>
  <c r="BF38" i="2"/>
  <c r="BE38" i="2"/>
  <c r="BE36" i="2" s="1"/>
  <c r="BD38" i="2"/>
  <c r="BC38" i="2"/>
  <c r="BC36" i="2" s="1"/>
  <c r="AZ38" i="2"/>
  <c r="AY38" i="2"/>
  <c r="AY36" i="2" s="1"/>
  <c r="AX38" i="2"/>
  <c r="AW38" i="2"/>
  <c r="AW36" i="2" s="1"/>
  <c r="AV38" i="2"/>
  <c r="AU38" i="2"/>
  <c r="AU36" i="2" s="1"/>
  <c r="AT38" i="2"/>
  <c r="AP38" i="2"/>
  <c r="AP36" i="2" s="1"/>
  <c r="AO38" i="2"/>
  <c r="AN38" i="2"/>
  <c r="AN36" i="2" s="1"/>
  <c r="AM38" i="2"/>
  <c r="AL38" i="2"/>
  <c r="AL36" i="2" s="1"/>
  <c r="AK38" i="2"/>
  <c r="AJ38" i="2"/>
  <c r="AJ36" i="2" s="1"/>
  <c r="AI38" i="2"/>
  <c r="AH38" i="2"/>
  <c r="AH36" i="2" s="1"/>
  <c r="AG38" i="2"/>
  <c r="AF38" i="2"/>
  <c r="AF36" i="2" s="1"/>
  <c r="AE38" i="2"/>
  <c r="AD38" i="2"/>
  <c r="AD36" i="2" s="1"/>
  <c r="AC38" i="2"/>
  <c r="AB38" i="2"/>
  <c r="AB36" i="2" s="1"/>
  <c r="AA38" i="2"/>
  <c r="Z38" i="2"/>
  <c r="Z36" i="2" s="1"/>
  <c r="Y38" i="2"/>
  <c r="X38" i="2"/>
  <c r="W38" i="2"/>
  <c r="V38" i="2"/>
  <c r="V36" i="2" s="1"/>
  <c r="T38" i="2"/>
  <c r="S38" i="2"/>
  <c r="R38" i="2"/>
  <c r="Q38" i="2"/>
  <c r="Q36" i="2" s="1"/>
  <c r="P38" i="2"/>
  <c r="O38" i="2"/>
  <c r="N38" i="2"/>
  <c r="M38" i="2"/>
  <c r="M36" i="2" s="1"/>
  <c r="L38" i="2"/>
  <c r="K38" i="2"/>
  <c r="J38" i="2"/>
  <c r="I38" i="2"/>
  <c r="I36" i="2" s="1"/>
  <c r="H38" i="2"/>
  <c r="G38" i="2"/>
  <c r="F38" i="2"/>
  <c r="E38" i="2"/>
  <c r="E36" i="2" s="1"/>
  <c r="D38" i="2"/>
  <c r="C38" i="2"/>
  <c r="CD36" i="2"/>
  <c r="BS36" i="2"/>
  <c r="BH36" i="2"/>
  <c r="BD36" i="2"/>
  <c r="BB36" i="2"/>
  <c r="BA36" i="2"/>
  <c r="AS36" i="2"/>
  <c r="AR36" i="2"/>
  <c r="AQ36" i="2"/>
  <c r="AE36" i="2"/>
  <c r="T36" i="2"/>
  <c r="R36" i="2"/>
  <c r="N36" i="2"/>
  <c r="J36" i="2"/>
  <c r="F36" i="2"/>
  <c r="CH35" i="2"/>
  <c r="CF35" i="2"/>
  <c r="CE35" i="2"/>
  <c r="CC35" i="2"/>
  <c r="CB35" i="2"/>
  <c r="BX35" i="2"/>
  <c r="CH34" i="2"/>
  <c r="CF34" i="2"/>
  <c r="CE34" i="2"/>
  <c r="CC34" i="2"/>
  <c r="CB34" i="2"/>
  <c r="BX34" i="2"/>
  <c r="CG33" i="2"/>
  <c r="CH33" i="2" s="1"/>
  <c r="CD33" i="2"/>
  <c r="CA33" i="2"/>
  <c r="CE33" i="2" s="1"/>
  <c r="BY33" i="2"/>
  <c r="BX33" i="2"/>
  <c r="BW33" i="2"/>
  <c r="BU33" i="2"/>
  <c r="BT33" i="2"/>
  <c r="BS33" i="2"/>
  <c r="BR33" i="2"/>
  <c r="BQ33" i="2"/>
  <c r="BP33" i="2"/>
  <c r="BO33" i="2"/>
  <c r="BN33" i="2"/>
  <c r="BV33" i="2" s="1"/>
  <c r="BM33" i="2"/>
  <c r="BL33" i="2"/>
  <c r="BK33" i="2"/>
  <c r="BJ33" i="2"/>
  <c r="BI33" i="2"/>
  <c r="BH33" i="2"/>
  <c r="BG33" i="2"/>
  <c r="BF33" i="2"/>
  <c r="BE33" i="2"/>
  <c r="AZ33" i="2"/>
  <c r="AY33" i="2"/>
  <c r="AX33" i="2"/>
  <c r="AW33" i="2"/>
  <c r="AV33" i="2"/>
  <c r="AU33" i="2"/>
  <c r="AT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P7" i="2" s="1"/>
  <c r="O33" i="2"/>
  <c r="N33" i="2"/>
  <c r="M33" i="2"/>
  <c r="L33" i="2"/>
  <c r="K33" i="2"/>
  <c r="J33" i="2"/>
  <c r="I33" i="2"/>
  <c r="H33" i="2"/>
  <c r="H7" i="2" s="1"/>
  <c r="G33" i="2"/>
  <c r="F33" i="2"/>
  <c r="E33" i="2"/>
  <c r="D33" i="2"/>
  <c r="D7" i="2" s="1"/>
  <c r="C33" i="2"/>
  <c r="CH32" i="2"/>
  <c r="CF32" i="2"/>
  <c r="CE32" i="2"/>
  <c r="CC32" i="2"/>
  <c r="CB32" i="2"/>
  <c r="BX32" i="2"/>
  <c r="CH31" i="2"/>
  <c r="CF31" i="2"/>
  <c r="CE31" i="2"/>
  <c r="CC31" i="2"/>
  <c r="CB31" i="2"/>
  <c r="BX31" i="2"/>
  <c r="AV31" i="2"/>
  <c r="AV28" i="2" s="1"/>
  <c r="AB31" i="2"/>
  <c r="T31" i="2"/>
  <c r="T28" i="2" s="1"/>
  <c r="Q31" i="2"/>
  <c r="P31" i="2"/>
  <c r="P28" i="2" s="1"/>
  <c r="M31" i="2"/>
  <c r="L31" i="2"/>
  <c r="I31" i="2"/>
  <c r="F31" i="2"/>
  <c r="CH30" i="2"/>
  <c r="CF30" i="2"/>
  <c r="CE30" i="2"/>
  <c r="CC30" i="2"/>
  <c r="CB30" i="2"/>
  <c r="BX30" i="2"/>
  <c r="CH29" i="2"/>
  <c r="CF29" i="2"/>
  <c r="CE29" i="2"/>
  <c r="CC29" i="2"/>
  <c r="CB29" i="2"/>
  <c r="BX29" i="2"/>
  <c r="AV29" i="2"/>
  <c r="AB29" i="2"/>
  <c r="AB28" i="2" s="1"/>
  <c r="T29" i="2"/>
  <c r="Q29" i="2"/>
  <c r="Q28" i="2" s="1"/>
  <c r="P29" i="2"/>
  <c r="L29" i="2"/>
  <c r="L28" i="2" s="1"/>
  <c r="L21" i="2" s="1"/>
  <c r="I29" i="2"/>
  <c r="F29" i="2"/>
  <c r="F28" i="2" s="1"/>
  <c r="CG28" i="2"/>
  <c r="CD28" i="2"/>
  <c r="CA28" i="2"/>
  <c r="BY28" i="2"/>
  <c r="BZ28" i="2" s="1"/>
  <c r="BW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AZ28" i="2"/>
  <c r="AY28" i="2"/>
  <c r="AX28" i="2"/>
  <c r="AW28" i="2"/>
  <c r="AU28" i="2"/>
  <c r="AT28" i="2"/>
  <c r="AT21" i="2" s="1"/>
  <c r="AP28" i="2"/>
  <c r="AO28" i="2"/>
  <c r="AN28" i="2"/>
  <c r="AM28" i="2"/>
  <c r="AM21" i="2" s="1"/>
  <c r="AL28" i="2"/>
  <c r="AK28" i="2"/>
  <c r="AJ28" i="2"/>
  <c r="AI28" i="2"/>
  <c r="AI21" i="2" s="1"/>
  <c r="AH28" i="2"/>
  <c r="AG28" i="2"/>
  <c r="AF28" i="2"/>
  <c r="AE28" i="2"/>
  <c r="AE21" i="2" s="1"/>
  <c r="AD28" i="2"/>
  <c r="AC28" i="2"/>
  <c r="AA28" i="2"/>
  <c r="AA21" i="2" s="1"/>
  <c r="Z28" i="2"/>
  <c r="Y28" i="2"/>
  <c r="X28" i="2"/>
  <c r="W28" i="2"/>
  <c r="W21" i="2" s="1"/>
  <c r="V28" i="2"/>
  <c r="U28" i="2"/>
  <c r="S28" i="2"/>
  <c r="R28" i="2"/>
  <c r="O28" i="2"/>
  <c r="N28" i="2"/>
  <c r="M28" i="2"/>
  <c r="M21" i="2" s="1"/>
  <c r="K28" i="2"/>
  <c r="J28" i="2"/>
  <c r="I28" i="2"/>
  <c r="H28" i="2"/>
  <c r="H21" i="2" s="1"/>
  <c r="G28" i="2"/>
  <c r="E28" i="2"/>
  <c r="D28" i="2"/>
  <c r="C28" i="2"/>
  <c r="CH27" i="2"/>
  <c r="CF27" i="2"/>
  <c r="CE27" i="2"/>
  <c r="CC27" i="2"/>
  <c r="CB27" i="2"/>
  <c r="BX27" i="2"/>
  <c r="AV27" i="2"/>
  <c r="CH26" i="2"/>
  <c r="CF26" i="2"/>
  <c r="CE26" i="2"/>
  <c r="CC26" i="2"/>
  <c r="CB26" i="2"/>
  <c r="BX26" i="2"/>
  <c r="AV26" i="2"/>
  <c r="AV25" i="2" s="1"/>
  <c r="CG25" i="2"/>
  <c r="CD25" i="2"/>
  <c r="CH25" i="2" s="1"/>
  <c r="CA25" i="2"/>
  <c r="BY25" i="2"/>
  <c r="BY21" i="2" s="1"/>
  <c r="BW25" i="2"/>
  <c r="BU25" i="2"/>
  <c r="BT25" i="2"/>
  <c r="BS25" i="2"/>
  <c r="BR25" i="2"/>
  <c r="BQ25" i="2"/>
  <c r="BP25" i="2"/>
  <c r="BO25" i="2"/>
  <c r="BN25" i="2"/>
  <c r="BL25" i="2"/>
  <c r="BK25" i="2"/>
  <c r="BJ25" i="2"/>
  <c r="BI25" i="2"/>
  <c r="BH25" i="2"/>
  <c r="BG25" i="2"/>
  <c r="BF25" i="2"/>
  <c r="BF21" i="2" s="1"/>
  <c r="BE25" i="2"/>
  <c r="BD25" i="2"/>
  <c r="BC25" i="2"/>
  <c r="BA25" i="2"/>
  <c r="AZ25" i="2"/>
  <c r="AY25" i="2"/>
  <c r="AX25" i="2"/>
  <c r="AW25" i="2"/>
  <c r="AU25" i="2"/>
  <c r="AT25" i="2"/>
  <c r="AS25" i="2"/>
  <c r="AM25" i="2"/>
  <c r="AL25" i="2"/>
  <c r="AK25" i="2"/>
  <c r="CH24" i="2"/>
  <c r="CF24" i="2"/>
  <c r="CE24" i="2"/>
  <c r="CC24" i="2"/>
  <c r="CB24" i="2"/>
  <c r="BX24" i="2"/>
  <c r="CH23" i="2"/>
  <c r="CF23" i="2"/>
  <c r="CE23" i="2"/>
  <c r="CC23" i="2"/>
  <c r="CB23" i="2"/>
  <c r="BX23" i="2"/>
  <c r="AV23" i="2"/>
  <c r="AB23" i="2"/>
  <c r="T23" i="2"/>
  <c r="T22" i="2" s="1"/>
  <c r="Q23" i="2"/>
  <c r="Q22" i="2" s="1"/>
  <c r="Q21" i="2" s="1"/>
  <c r="P23" i="2"/>
  <c r="M23" i="2"/>
  <c r="M22" i="2" s="1"/>
  <c r="L23" i="2"/>
  <c r="L22" i="2" s="1"/>
  <c r="I23" i="2"/>
  <c r="I22" i="2" s="1"/>
  <c r="I21" i="2" s="1"/>
  <c r="I7" i="2" s="1"/>
  <c r="F23" i="2"/>
  <c r="CG22" i="2"/>
  <c r="CG21" i="2" s="1"/>
  <c r="CD22" i="2"/>
  <c r="CA22" i="2"/>
  <c r="CA21" i="2" s="1"/>
  <c r="BW22" i="2"/>
  <c r="BX22" i="2" s="1"/>
  <c r="BU22" i="2"/>
  <c r="BT22" i="2"/>
  <c r="BT21" i="2" s="1"/>
  <c r="BS22" i="2"/>
  <c r="BR22" i="2"/>
  <c r="BQ22" i="2"/>
  <c r="BP22" i="2"/>
  <c r="BP21" i="2" s="1"/>
  <c r="BO22" i="2"/>
  <c r="BN22" i="2"/>
  <c r="BZ22" i="2" s="1"/>
  <c r="BM22" i="2"/>
  <c r="BL22" i="2"/>
  <c r="BK22" i="2"/>
  <c r="BK21" i="2" s="1"/>
  <c r="BJ22" i="2"/>
  <c r="BI22" i="2"/>
  <c r="BH22" i="2"/>
  <c r="BG22" i="2"/>
  <c r="BG21" i="2" s="1"/>
  <c r="BF22" i="2"/>
  <c r="BE22" i="2"/>
  <c r="BD22" i="2"/>
  <c r="BC22" i="2"/>
  <c r="BC21" i="2" s="1"/>
  <c r="BC7" i="2" s="1"/>
  <c r="BB22" i="2"/>
  <c r="BA22" i="2"/>
  <c r="AZ22" i="2"/>
  <c r="AZ21" i="2" s="1"/>
  <c r="AY22" i="2"/>
  <c r="AX22" i="2"/>
  <c r="AW22" i="2"/>
  <c r="AV22" i="2"/>
  <c r="AU22" i="2"/>
  <c r="AT22" i="2"/>
  <c r="AP22" i="2"/>
  <c r="AO22" i="2"/>
  <c r="AO21" i="2" s="1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S22" i="2"/>
  <c r="S21" i="2" s="1"/>
  <c r="R22" i="2"/>
  <c r="P22" i="2"/>
  <c r="P21" i="2" s="1"/>
  <c r="O22" i="2"/>
  <c r="N22" i="2"/>
  <c r="N21" i="2" s="1"/>
  <c r="K22" i="2"/>
  <c r="J22" i="2"/>
  <c r="J21" i="2" s="1"/>
  <c r="H22" i="2"/>
  <c r="G22" i="2"/>
  <c r="G21" i="2" s="1"/>
  <c r="G7" i="2" s="1"/>
  <c r="F22" i="2"/>
  <c r="E22" i="2"/>
  <c r="D22" i="2"/>
  <c r="D21" i="2" s="1"/>
  <c r="D6" i="2" s="1"/>
  <c r="C22" i="2"/>
  <c r="BW21" i="2"/>
  <c r="BR21" i="2"/>
  <c r="BR7" i="2" s="1"/>
  <c r="BN21" i="2"/>
  <c r="BJ21" i="2"/>
  <c r="BB21" i="2"/>
  <c r="AX21" i="2"/>
  <c r="AX7" i="2" s="1"/>
  <c r="AG21" i="2"/>
  <c r="AG7" i="2" s="1"/>
  <c r="AC21" i="2"/>
  <c r="Y21" i="2"/>
  <c r="Y7" i="2" s="1"/>
  <c r="U21" i="2"/>
  <c r="O21" i="2"/>
  <c r="K21" i="2"/>
  <c r="F21" i="2"/>
  <c r="E21" i="2"/>
  <c r="CH20" i="2"/>
  <c r="CF20" i="2"/>
  <c r="CE20" i="2"/>
  <c r="CC20" i="2"/>
  <c r="CB20" i="2"/>
  <c r="BX20" i="2"/>
  <c r="AV20" i="2"/>
  <c r="AC20" i="2"/>
  <c r="AB20" i="2"/>
  <c r="T20" i="2"/>
  <c r="M20" i="2"/>
  <c r="L20" i="2"/>
  <c r="CH19" i="2"/>
  <c r="CF19" i="2"/>
  <c r="CE19" i="2"/>
  <c r="CC19" i="2"/>
  <c r="CB19" i="2"/>
  <c r="BX19" i="2"/>
  <c r="CH18" i="2"/>
  <c r="CF18" i="2"/>
  <c r="CE18" i="2"/>
  <c r="CC18" i="2"/>
  <c r="CB18" i="2"/>
  <c r="BX18" i="2"/>
  <c r="CH17" i="2"/>
  <c r="CF17" i="2"/>
  <c r="CE17" i="2"/>
  <c r="CC17" i="2"/>
  <c r="CB17" i="2"/>
  <c r="BX17" i="2"/>
  <c r="CH16" i="2"/>
  <c r="CF16" i="2"/>
  <c r="CE16" i="2"/>
  <c r="CC16" i="2"/>
  <c r="CB16" i="2"/>
  <c r="BX16" i="2"/>
  <c r="CG15" i="2"/>
  <c r="CD15" i="2"/>
  <c r="CA15" i="2"/>
  <c r="CB15" i="2" s="1"/>
  <c r="BW15" i="2"/>
  <c r="BX15" i="2" s="1"/>
  <c r="BU15" i="2"/>
  <c r="BT15" i="2"/>
  <c r="BS15" i="2"/>
  <c r="BR15" i="2"/>
  <c r="BQ15" i="2"/>
  <c r="BP15" i="2"/>
  <c r="BO15" i="2"/>
  <c r="BN15" i="2"/>
  <c r="BV15" i="2" s="1"/>
  <c r="BL15" i="2"/>
  <c r="BK15" i="2"/>
  <c r="BJ15" i="2"/>
  <c r="BI15" i="2"/>
  <c r="BH15" i="2"/>
  <c r="BG15" i="2"/>
  <c r="BF15" i="2"/>
  <c r="BE15" i="2"/>
  <c r="BD15" i="2"/>
  <c r="BC15" i="2"/>
  <c r="AZ15" i="2"/>
  <c r="AY15" i="2"/>
  <c r="AX15" i="2"/>
  <c r="AW15" i="2"/>
  <c r="AV15" i="2"/>
  <c r="AU15" i="2"/>
  <c r="AT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CH14" i="2"/>
  <c r="CF14" i="2"/>
  <c r="CE14" i="2"/>
  <c r="CC14" i="2"/>
  <c r="CB14" i="2"/>
  <c r="BX14" i="2"/>
  <c r="BO14" i="2"/>
  <c r="BN14" i="2"/>
  <c r="BV14" i="2" s="1"/>
  <c r="CH13" i="2"/>
  <c r="CF13" i="2"/>
  <c r="CE13" i="2"/>
  <c r="CC13" i="2"/>
  <c r="CB13" i="2"/>
  <c r="BX13" i="2"/>
  <c r="CH12" i="2"/>
  <c r="CF12" i="2"/>
  <c r="CE12" i="2"/>
  <c r="CC12" i="2"/>
  <c r="CB12" i="2"/>
  <c r="BX12" i="2"/>
  <c r="AV12" i="2"/>
  <c r="AM12" i="2"/>
  <c r="AL12" i="2"/>
  <c r="AC12" i="2"/>
  <c r="AB12" i="2"/>
  <c r="T12" i="2"/>
  <c r="T9" i="2" s="1"/>
  <c r="Q12" i="2"/>
  <c r="P12" i="2"/>
  <c r="M12" i="2"/>
  <c r="L12" i="2"/>
  <c r="L9" i="2" s="1"/>
  <c r="I12" i="2"/>
  <c r="CH11" i="2"/>
  <c r="CF11" i="2"/>
  <c r="CE11" i="2"/>
  <c r="CC11" i="2"/>
  <c r="CB11" i="2"/>
  <c r="BX11" i="2"/>
  <c r="AV11" i="2"/>
  <c r="AV9" i="2" s="1"/>
  <c r="AM11" i="2"/>
  <c r="AL11" i="2"/>
  <c r="AL9" i="2" s="1"/>
  <c r="AC11" i="2"/>
  <c r="AB11" i="2"/>
  <c r="AB9" i="2" s="1"/>
  <c r="T11" i="2"/>
  <c r="Q11" i="2"/>
  <c r="P11" i="2"/>
  <c r="M11" i="2"/>
  <c r="M9" i="2" s="1"/>
  <c r="L11" i="2"/>
  <c r="I11" i="2"/>
  <c r="F11" i="2"/>
  <c r="CH10" i="2"/>
  <c r="CF10" i="2"/>
  <c r="CE10" i="2"/>
  <c r="CC10" i="2"/>
  <c r="CB10" i="2"/>
  <c r="BX10" i="2"/>
  <c r="AW10" i="2"/>
  <c r="AW9" i="2" s="1"/>
  <c r="AV10" i="2"/>
  <c r="AC10" i="2"/>
  <c r="AC9" i="2" s="1"/>
  <c r="AC7" i="2" s="1"/>
  <c r="AB10" i="2"/>
  <c r="T10" i="2"/>
  <c r="Q10" i="2"/>
  <c r="P10" i="2"/>
  <c r="P9" i="2" s="1"/>
  <c r="M10" i="2"/>
  <c r="L10" i="2"/>
  <c r="I10" i="2"/>
  <c r="F10" i="2"/>
  <c r="F9" i="2" s="1"/>
  <c r="F7" i="2" s="1"/>
  <c r="CG9" i="2"/>
  <c r="CD9" i="2"/>
  <c r="CA9" i="2"/>
  <c r="CB9" i="2" s="1"/>
  <c r="BW9" i="2"/>
  <c r="BX9" i="2" s="1"/>
  <c r="BU9" i="2"/>
  <c r="BT9" i="2"/>
  <c r="BS9" i="2"/>
  <c r="BR9" i="2"/>
  <c r="BQ9" i="2"/>
  <c r="BP9" i="2"/>
  <c r="BP7" i="2" s="1"/>
  <c r="BO9" i="2"/>
  <c r="BN9" i="2"/>
  <c r="BV9" i="2" s="1"/>
  <c r="BM9" i="2"/>
  <c r="BL9" i="2"/>
  <c r="BK9" i="2"/>
  <c r="BJ9" i="2"/>
  <c r="BI9" i="2"/>
  <c r="BH9" i="2"/>
  <c r="BG9" i="2"/>
  <c r="BF9" i="2"/>
  <c r="BE9" i="2"/>
  <c r="BD9" i="2"/>
  <c r="BC9" i="2"/>
  <c r="AZ9" i="2"/>
  <c r="AZ7" i="2" s="1"/>
  <c r="AY9" i="2"/>
  <c r="AX9" i="2"/>
  <c r="AU9" i="2"/>
  <c r="AT9" i="2"/>
  <c r="AT6" i="2" s="1"/>
  <c r="AP9" i="2"/>
  <c r="AO9" i="2"/>
  <c r="AN9" i="2"/>
  <c r="AM9" i="2"/>
  <c r="AM7" i="2" s="1"/>
  <c r="AK9" i="2"/>
  <c r="AJ9" i="2"/>
  <c r="AI9" i="2"/>
  <c r="AI6" i="2" s="1"/>
  <c r="AH9" i="2"/>
  <c r="AG9" i="2"/>
  <c r="AF9" i="2"/>
  <c r="AE9" i="2"/>
  <c r="AD9" i="2"/>
  <c r="AA9" i="2"/>
  <c r="Z9" i="2"/>
  <c r="Y9" i="2"/>
  <c r="X9" i="2"/>
  <c r="W9" i="2"/>
  <c r="V9" i="2"/>
  <c r="U9" i="2"/>
  <c r="U7" i="2" s="1"/>
  <c r="S9" i="2"/>
  <c r="R9" i="2"/>
  <c r="Q9" i="2"/>
  <c r="O9" i="2"/>
  <c r="O7" i="2" s="1"/>
  <c r="N9" i="2"/>
  <c r="K9" i="2"/>
  <c r="K7" i="2" s="1"/>
  <c r="J9" i="2"/>
  <c r="I9" i="2"/>
  <c r="I6" i="2" s="1"/>
  <c r="H9" i="2"/>
  <c r="G9" i="2"/>
  <c r="E9" i="2"/>
  <c r="E6" i="2" s="1"/>
  <c r="D9" i="2"/>
  <c r="C9" i="2"/>
  <c r="BY7" i="2"/>
  <c r="BW7" i="2"/>
  <c r="BX7" i="2" s="1"/>
  <c r="BK7" i="2"/>
  <c r="BJ7" i="2"/>
  <c r="BB7" i="2"/>
  <c r="AS7" i="2"/>
  <c r="AR7" i="2"/>
  <c r="AQ7" i="2"/>
  <c r="AO7" i="2"/>
  <c r="AE7" i="2"/>
  <c r="AA7" i="2"/>
  <c r="W7" i="2"/>
  <c r="Q7" i="2"/>
  <c r="N7" i="2"/>
  <c r="L7" i="2"/>
  <c r="E7" i="2"/>
  <c r="BN6" i="2"/>
  <c r="BB6" i="2"/>
  <c r="AS6" i="2"/>
  <c r="AR6" i="2"/>
  <c r="AQ6" i="2"/>
  <c r="AM6" i="2"/>
  <c r="AE6" i="2"/>
  <c r="W6" i="2"/>
  <c r="P6" i="2"/>
  <c r="N6" i="2"/>
  <c r="L6" i="2"/>
  <c r="G6" i="2"/>
  <c r="F6" i="2"/>
  <c r="CH70" i="2" l="1"/>
  <c r="CG68" i="2"/>
  <c r="M7" i="2"/>
  <c r="M6" i="2"/>
  <c r="CC38" i="2"/>
  <c r="CA36" i="2"/>
  <c r="CE36" i="2" s="1"/>
  <c r="BV45" i="2"/>
  <c r="BN36" i="2"/>
  <c r="BZ54" i="2"/>
  <c r="BV70" i="2"/>
  <c r="BN68" i="2"/>
  <c r="BZ92" i="2"/>
  <c r="BV92" i="2"/>
  <c r="BX92" i="2"/>
  <c r="BW70" i="2"/>
  <c r="H6" i="2"/>
  <c r="Q6" i="2"/>
  <c r="Y6" i="2"/>
  <c r="AG6" i="2"/>
  <c r="AO6" i="2"/>
  <c r="BC6" i="2"/>
  <c r="BJ6" i="2"/>
  <c r="BP6" i="2"/>
  <c r="CA6" i="2"/>
  <c r="AI7" i="2"/>
  <c r="BN7" i="2"/>
  <c r="CA7" i="2"/>
  <c r="BT7" i="2"/>
  <c r="BT6" i="2"/>
  <c r="BV28" i="2"/>
  <c r="BZ45" i="2"/>
  <c r="BV107" i="2"/>
  <c r="BZ15" i="2"/>
  <c r="CG7" i="2"/>
  <c r="CG6" i="2"/>
  <c r="AA6" i="2"/>
  <c r="AX6" i="2"/>
  <c r="BR6" i="2"/>
  <c r="BG7" i="2"/>
  <c r="C21" i="2"/>
  <c r="C36" i="2"/>
  <c r="G36" i="2"/>
  <c r="K36" i="2"/>
  <c r="O36" i="2"/>
  <c r="S36" i="2"/>
  <c r="X36" i="2"/>
  <c r="CG36" i="2"/>
  <c r="CB66" i="2"/>
  <c r="BY64" i="2"/>
  <c r="BZ66" i="2"/>
  <c r="CA68" i="2"/>
  <c r="AK70" i="2"/>
  <c r="AK68" i="2" s="1"/>
  <c r="AO70" i="2"/>
  <c r="AO68" i="2" s="1"/>
  <c r="BF70" i="2"/>
  <c r="BF68" i="2" s="1"/>
  <c r="BJ70" i="2"/>
  <c r="O6" i="2"/>
  <c r="AC6" i="2"/>
  <c r="AZ6" i="2"/>
  <c r="BG6" i="2"/>
  <c r="BW6" i="2"/>
  <c r="AT7" i="2"/>
  <c r="BD72" i="2"/>
  <c r="BD68" i="2"/>
  <c r="AX72" i="2"/>
  <c r="AX68" i="2"/>
  <c r="BG72" i="2"/>
  <c r="BG68" i="2"/>
  <c r="BZ73" i="2"/>
  <c r="BY70" i="2"/>
  <c r="BY68" i="2" s="1"/>
  <c r="E70" i="2"/>
  <c r="E68" i="2" s="1"/>
  <c r="I70" i="2"/>
  <c r="I68" i="2" s="1"/>
  <c r="U70" i="2"/>
  <c r="U68" i="2" s="1"/>
  <c r="Y70" i="2"/>
  <c r="Y68" i="2" s="1"/>
  <c r="AC70" i="2"/>
  <c r="AC68" i="2" s="1"/>
  <c r="AG70" i="2"/>
  <c r="AG68" i="2" s="1"/>
  <c r="BV99" i="2"/>
  <c r="BZ99" i="2"/>
  <c r="AK21" i="2"/>
  <c r="AK6" i="2" s="1"/>
  <c r="T21" i="2"/>
  <c r="T6" i="2" s="1"/>
  <c r="T126" i="2" s="1"/>
  <c r="BZ25" i="2"/>
  <c r="BX28" i="2"/>
  <c r="BZ120" i="2"/>
  <c r="BZ100" i="2"/>
  <c r="BZ14" i="2"/>
  <c r="BV76" i="2"/>
  <c r="BV22" i="2"/>
  <c r="BE21" i="2"/>
  <c r="BI21" i="2"/>
  <c r="BM21" i="2"/>
  <c r="BR36" i="2"/>
  <c r="U36" i="2"/>
  <c r="BX64" i="2"/>
  <c r="BW118" i="2"/>
  <c r="BX118" i="2" s="1"/>
  <c r="BZ107" i="2"/>
  <c r="BZ42" i="2"/>
  <c r="BZ9" i="2"/>
  <c r="BV38" i="2"/>
  <c r="BV25" i="2"/>
  <c r="BZ21" i="2"/>
  <c r="BX66" i="2"/>
  <c r="BX73" i="2"/>
  <c r="BX97" i="2"/>
  <c r="BZ102" i="2"/>
  <c r="J7" i="2"/>
  <c r="J6" i="2"/>
  <c r="S7" i="2"/>
  <c r="S6" i="2"/>
  <c r="BL72" i="2"/>
  <c r="BL68" i="2"/>
  <c r="BI36" i="2"/>
  <c r="BK36" i="2"/>
  <c r="CC45" i="2"/>
  <c r="BF7" i="2"/>
  <c r="BF6" i="2"/>
  <c r="CC9" i="2"/>
  <c r="CE9" i="2"/>
  <c r="BX21" i="2"/>
  <c r="AV21" i="2"/>
  <c r="BD21" i="2"/>
  <c r="BH21" i="2"/>
  <c r="BL21" i="2"/>
  <c r="CH22" i="2"/>
  <c r="CD21" i="2"/>
  <c r="CH21" i="2" s="1"/>
  <c r="CC22" i="2"/>
  <c r="CB22" i="2"/>
  <c r="CB21" i="2"/>
  <c r="CF28" i="2"/>
  <c r="CC76" i="2"/>
  <c r="BK70" i="2"/>
  <c r="BU70" i="2"/>
  <c r="BU68" i="2" s="1"/>
  <c r="CF92" i="2"/>
  <c r="R21" i="2"/>
  <c r="V21" i="2"/>
  <c r="X21" i="2"/>
  <c r="Z21" i="2"/>
  <c r="AB21" i="2"/>
  <c r="AD21" i="2"/>
  <c r="AF21" i="2"/>
  <c r="AH21" i="2"/>
  <c r="AJ21" i="2"/>
  <c r="AL21" i="2"/>
  <c r="AN21" i="2"/>
  <c r="AP21" i="2"/>
  <c r="AU21" i="2"/>
  <c r="AW21" i="2"/>
  <c r="AY21" i="2"/>
  <c r="BA21" i="2"/>
  <c r="BO21" i="2"/>
  <c r="BQ21" i="2"/>
  <c r="BS21" i="2"/>
  <c r="BU21" i="2"/>
  <c r="BX25" i="2"/>
  <c r="CC25" i="2"/>
  <c r="CE28" i="2"/>
  <c r="CH28" i="2"/>
  <c r="CF33" i="2"/>
  <c r="BW36" i="2"/>
  <c r="CF36" i="2"/>
  <c r="CB38" i="2"/>
  <c r="CH38" i="2"/>
  <c r="CB45" i="2"/>
  <c r="CH45" i="2"/>
  <c r="CF49" i="2"/>
  <c r="CB68" i="2"/>
  <c r="CH68" i="2"/>
  <c r="CF70" i="2"/>
  <c r="CB76" i="2"/>
  <c r="CE76" i="2"/>
  <c r="CB92" i="2"/>
  <c r="CH92" i="2"/>
  <c r="BX102" i="2"/>
  <c r="CB7" i="2"/>
  <c r="CF9" i="2"/>
  <c r="CH9" i="2"/>
  <c r="CF15" i="2"/>
  <c r="CH15" i="2"/>
  <c r="CC15" i="2"/>
  <c r="CE15" i="2"/>
  <c r="CF21" i="2"/>
  <c r="CE22" i="2"/>
  <c r="CE25" i="2"/>
  <c r="CB28" i="2"/>
  <c r="CB33" i="2"/>
  <c r="CH36" i="2"/>
  <c r="CE38" i="2"/>
  <c r="CE45" i="2"/>
  <c r="CB49" i="2"/>
  <c r="D126" i="2"/>
  <c r="D8" i="2" s="1"/>
  <c r="F126" i="2"/>
  <c r="F8" i="2" s="1"/>
  <c r="H126" i="2"/>
  <c r="H8" i="2" s="1"/>
  <c r="J126" i="2"/>
  <c r="J8" i="2" s="1"/>
  <c r="L126" i="2"/>
  <c r="L8" i="2" s="1"/>
  <c r="N126" i="2"/>
  <c r="N8" i="2" s="1"/>
  <c r="P126" i="2"/>
  <c r="P8" i="2" s="1"/>
  <c r="AR126" i="2"/>
  <c r="AR69" i="2" s="1"/>
  <c r="AT126" i="2"/>
  <c r="AT128" i="2" s="1"/>
  <c r="AX126" i="2"/>
  <c r="AX128" i="2" s="1"/>
  <c r="AZ126" i="2"/>
  <c r="AZ128" i="2" s="1"/>
  <c r="BB126" i="2"/>
  <c r="BB8" i="2" s="1"/>
  <c r="BF126" i="2"/>
  <c r="BF128" i="2" s="1"/>
  <c r="BN126" i="2"/>
  <c r="BP126" i="2"/>
  <c r="BP128" i="2" s="1"/>
  <c r="BR126" i="2"/>
  <c r="BR128" i="2" s="1"/>
  <c r="BT126" i="2"/>
  <c r="BT128" i="2" s="1"/>
  <c r="CF68" i="2"/>
  <c r="F69" i="2"/>
  <c r="H69" i="2"/>
  <c r="J69" i="2"/>
  <c r="N69" i="2"/>
  <c r="P69" i="2"/>
  <c r="AX127" i="2"/>
  <c r="CF22" i="2"/>
  <c r="CB25" i="2"/>
  <c r="CF25" i="2"/>
  <c r="CC28" i="2"/>
  <c r="CC33" i="2"/>
  <c r="CC36" i="2"/>
  <c r="CF38" i="2"/>
  <c r="CF45" i="2"/>
  <c r="CC49" i="2"/>
  <c r="E126" i="2"/>
  <c r="E8" i="2" s="1"/>
  <c r="G126" i="2"/>
  <c r="G8" i="2" s="1"/>
  <c r="I126" i="2"/>
  <c r="I8" i="2" s="1"/>
  <c r="K126" i="2"/>
  <c r="K8" i="2" s="1"/>
  <c r="M126" i="2"/>
  <c r="M8" i="2" s="1"/>
  <c r="O126" i="2"/>
  <c r="O8" i="2" s="1"/>
  <c r="Q126" i="2"/>
  <c r="Q8" i="2" s="1"/>
  <c r="S126" i="2"/>
  <c r="S128" i="2" s="1"/>
  <c r="U126" i="2"/>
  <c r="U8" i="2" s="1"/>
  <c r="W126" i="2"/>
  <c r="W128" i="2" s="1"/>
  <c r="Y126" i="2"/>
  <c r="Y128" i="2" s="1"/>
  <c r="AA126" i="2"/>
  <c r="AA128" i="2" s="1"/>
  <c r="AC126" i="2"/>
  <c r="AC128" i="2" s="1"/>
  <c r="AE126" i="2"/>
  <c r="AE128" i="2" s="1"/>
  <c r="AG126" i="2"/>
  <c r="AG128" i="2" s="1"/>
  <c r="AI126" i="2"/>
  <c r="AI128" i="2" s="1"/>
  <c r="AK126" i="2"/>
  <c r="AK128" i="2" s="1"/>
  <c r="AM126" i="2"/>
  <c r="AM128" i="2" s="1"/>
  <c r="AO126" i="2"/>
  <c r="AO128" i="2" s="1"/>
  <c r="AQ126" i="2"/>
  <c r="AQ69" i="2" s="1"/>
  <c r="AS126" i="2"/>
  <c r="BC126" i="2"/>
  <c r="BG126" i="2"/>
  <c r="BG128" i="2" s="1"/>
  <c r="CA126" i="2"/>
  <c r="CA37" i="2" s="1"/>
  <c r="CC68" i="2"/>
  <c r="CE68" i="2"/>
  <c r="CG126" i="2"/>
  <c r="CG8" i="2" s="1"/>
  <c r="G69" i="2"/>
  <c r="K69" i="2"/>
  <c r="O69" i="2"/>
  <c r="S69" i="2"/>
  <c r="W69" i="2"/>
  <c r="AA69" i="2"/>
  <c r="AE69" i="2"/>
  <c r="AM69" i="2"/>
  <c r="BC69" i="2"/>
  <c r="D127" i="2"/>
  <c r="F127" i="2"/>
  <c r="H127" i="2"/>
  <c r="J127" i="2"/>
  <c r="L127" i="2"/>
  <c r="N127" i="2"/>
  <c r="P127" i="2"/>
  <c r="CC70" i="2"/>
  <c r="CE70" i="2"/>
  <c r="CA72" i="2"/>
  <c r="BG127" i="2"/>
  <c r="CA127" i="2"/>
  <c r="CC73" i="2"/>
  <c r="CE73" i="2"/>
  <c r="CG127" i="2"/>
  <c r="CF76" i="2"/>
  <c r="CH76" i="2"/>
  <c r="CC88" i="2"/>
  <c r="CE88" i="2"/>
  <c r="CC92" i="2"/>
  <c r="CE92" i="2"/>
  <c r="CB70" i="2"/>
  <c r="BF127" i="2"/>
  <c r="BN127" i="2"/>
  <c r="BP127" i="2"/>
  <c r="BR127" i="2"/>
  <c r="BT127" i="2"/>
  <c r="CB73" i="2"/>
  <c r="CF73" i="2"/>
  <c r="CH73" i="2"/>
  <c r="BX80" i="2"/>
  <c r="CF88" i="2"/>
  <c r="CH88" i="2"/>
  <c r="T69" i="2" l="1"/>
  <c r="T127" i="2"/>
  <c r="BI6" i="2"/>
  <c r="BI126" i="2" s="1"/>
  <c r="BI128" i="2" s="1"/>
  <c r="BI7" i="2"/>
  <c r="BZ64" i="2"/>
  <c r="BY6" i="2"/>
  <c r="T7" i="2"/>
  <c r="T8" i="2" s="1"/>
  <c r="BZ70" i="2"/>
  <c r="BE6" i="2"/>
  <c r="BE7" i="2"/>
  <c r="BX6" i="2"/>
  <c r="C7" i="2"/>
  <c r="C6" i="2"/>
  <c r="C126" i="2" s="1"/>
  <c r="BY36" i="2"/>
  <c r="CB36" i="2" s="1"/>
  <c r="AI69" i="2"/>
  <c r="BX36" i="2"/>
  <c r="BJ72" i="2"/>
  <c r="BJ68" i="2"/>
  <c r="BJ126" i="2" s="1"/>
  <c r="BZ7" i="2"/>
  <c r="BV7" i="2"/>
  <c r="BW68" i="2"/>
  <c r="BX70" i="2"/>
  <c r="BZ68" i="2"/>
  <c r="BV68" i="2"/>
  <c r="L69" i="2"/>
  <c r="D69" i="2"/>
  <c r="BM7" i="2"/>
  <c r="BM6" i="2"/>
  <c r="BM126" i="2" s="1"/>
  <c r="BV21" i="2"/>
  <c r="AK7" i="2"/>
  <c r="BV36" i="2"/>
  <c r="BN128" i="2"/>
  <c r="BI127" i="2"/>
  <c r="U69" i="2"/>
  <c r="Q69" i="2"/>
  <c r="M69" i="2"/>
  <c r="I69" i="2"/>
  <c r="E69" i="2"/>
  <c r="AZ127" i="2"/>
  <c r="AT127" i="2"/>
  <c r="AO127" i="2"/>
  <c r="AG127" i="2"/>
  <c r="Y127" i="2"/>
  <c r="Q127" i="2"/>
  <c r="I127" i="2"/>
  <c r="BS7" i="2"/>
  <c r="BS6" i="2"/>
  <c r="BS126" i="2" s="1"/>
  <c r="BO7" i="2"/>
  <c r="BO6" i="2"/>
  <c r="BO126" i="2" s="1"/>
  <c r="AY7" i="2"/>
  <c r="AY6" i="2"/>
  <c r="AY126" i="2" s="1"/>
  <c r="AU7" i="2"/>
  <c r="AU6" i="2"/>
  <c r="AU126" i="2" s="1"/>
  <c r="AN7" i="2"/>
  <c r="AN6" i="2"/>
  <c r="AN126" i="2" s="1"/>
  <c r="AJ7" i="2"/>
  <c r="AJ6" i="2"/>
  <c r="AJ126" i="2" s="1"/>
  <c r="AF7" i="2"/>
  <c r="AF6" i="2"/>
  <c r="AF126" i="2" s="1"/>
  <c r="AB7" i="2"/>
  <c r="AB6" i="2"/>
  <c r="AB126" i="2" s="1"/>
  <c r="X7" i="2"/>
  <c r="X6" i="2"/>
  <c r="X126" i="2" s="1"/>
  <c r="R7" i="2"/>
  <c r="R6" i="2"/>
  <c r="R126" i="2" s="1"/>
  <c r="CE21" i="2"/>
  <c r="CD7" i="2"/>
  <c r="CD6" i="2"/>
  <c r="BL7" i="2"/>
  <c r="BL6" i="2"/>
  <c r="BL126" i="2" s="1"/>
  <c r="BD7" i="2"/>
  <c r="BD6" i="2"/>
  <c r="BD126" i="2" s="1"/>
  <c r="BD69" i="2" s="1"/>
  <c r="AK127" i="2"/>
  <c r="AC127" i="2"/>
  <c r="U127" i="2"/>
  <c r="M127" i="2"/>
  <c r="E127" i="2"/>
  <c r="BU7" i="2"/>
  <c r="BU6" i="2"/>
  <c r="BU126" i="2" s="1"/>
  <c r="BQ7" i="2"/>
  <c r="CC7" i="2" s="1"/>
  <c r="BQ6" i="2"/>
  <c r="BA7" i="2"/>
  <c r="BA6" i="2"/>
  <c r="BA126" i="2" s="1"/>
  <c r="BA127" i="2" s="1"/>
  <c r="AW7" i="2"/>
  <c r="AW6" i="2"/>
  <c r="AW126" i="2" s="1"/>
  <c r="AP7" i="2"/>
  <c r="AP6" i="2"/>
  <c r="AP126" i="2" s="1"/>
  <c r="AL7" i="2"/>
  <c r="AL6" i="2"/>
  <c r="AL126" i="2" s="1"/>
  <c r="AL69" i="2" s="1"/>
  <c r="AH7" i="2"/>
  <c r="AH6" i="2"/>
  <c r="AH126" i="2" s="1"/>
  <c r="AD7" i="2"/>
  <c r="AD6" i="2"/>
  <c r="AD126" i="2" s="1"/>
  <c r="AD69" i="2" s="1"/>
  <c r="Z7" i="2"/>
  <c r="Z6" i="2"/>
  <c r="Z126" i="2" s="1"/>
  <c r="V7" i="2"/>
  <c r="V6" i="2"/>
  <c r="V126" i="2" s="1"/>
  <c r="V37" i="2" s="1"/>
  <c r="BK72" i="2"/>
  <c r="BK68" i="2"/>
  <c r="CC21" i="2"/>
  <c r="BH7" i="2"/>
  <c r="BH6" i="2"/>
  <c r="BH126" i="2" s="1"/>
  <c r="BH69" i="2" s="1"/>
  <c r="AV7" i="2"/>
  <c r="AV6" i="2"/>
  <c r="AV126" i="2" s="1"/>
  <c r="BO69" i="2"/>
  <c r="BG69" i="2"/>
  <c r="AY69" i="2"/>
  <c r="CG69" i="2"/>
  <c r="CA69" i="2"/>
  <c r="BA128" i="2"/>
  <c r="AS128" i="2"/>
  <c r="AS127" i="2"/>
  <c r="AM127" i="2"/>
  <c r="AI127" i="2"/>
  <c r="AE127" i="2"/>
  <c r="AA127" i="2"/>
  <c r="W127" i="2"/>
  <c r="S127" i="2"/>
  <c r="O127" i="2"/>
  <c r="K127" i="2"/>
  <c r="G127" i="2"/>
  <c r="C127" i="2"/>
  <c r="BT69" i="2"/>
  <c r="BR69" i="2"/>
  <c r="BP69" i="2"/>
  <c r="BN69" i="2"/>
  <c r="BL69" i="2"/>
  <c r="BJ69" i="2"/>
  <c r="BF69" i="2"/>
  <c r="BB69" i="2"/>
  <c r="AZ69" i="2"/>
  <c r="AX69" i="2"/>
  <c r="AT69" i="2"/>
  <c r="AP69" i="2"/>
  <c r="AN69" i="2"/>
  <c r="AJ69" i="2"/>
  <c r="AH69" i="2"/>
  <c r="Z69" i="2"/>
  <c r="X69" i="2"/>
  <c r="CG37" i="2"/>
  <c r="BS37" i="2"/>
  <c r="BN37" i="2"/>
  <c r="BJ37" i="2"/>
  <c r="BF37" i="2"/>
  <c r="BB37" i="2"/>
  <c r="AX37" i="2"/>
  <c r="AT37" i="2"/>
  <c r="AP37" i="2"/>
  <c r="AL37" i="2"/>
  <c r="AH37" i="2"/>
  <c r="Z37" i="2"/>
  <c r="R37" i="2"/>
  <c r="N37" i="2"/>
  <c r="J37" i="2"/>
  <c r="F37" i="2"/>
  <c r="BI69" i="2"/>
  <c r="BA69" i="2"/>
  <c r="AS69" i="2"/>
  <c r="AK69" i="2"/>
  <c r="AC69" i="2"/>
  <c r="BR37" i="2"/>
  <c r="BM37" i="2"/>
  <c r="BI37" i="2"/>
  <c r="BA37" i="2"/>
  <c r="AW37" i="2"/>
  <c r="AS37" i="2"/>
  <c r="AO37" i="2"/>
  <c r="AK37" i="2"/>
  <c r="AG37" i="2"/>
  <c r="AC37" i="2"/>
  <c r="Y37" i="2"/>
  <c r="U37" i="2"/>
  <c r="Q37" i="2"/>
  <c r="M37" i="2"/>
  <c r="I37" i="2"/>
  <c r="E37" i="2"/>
  <c r="BR8" i="2"/>
  <c r="BN8" i="2"/>
  <c r="BJ8" i="2"/>
  <c r="BF8" i="2"/>
  <c r="AX8" i="2"/>
  <c r="AT8" i="2"/>
  <c r="AP8" i="2"/>
  <c r="AH8" i="2"/>
  <c r="BU8" i="2"/>
  <c r="BM8" i="2"/>
  <c r="BI8" i="2"/>
  <c r="BA8" i="2"/>
  <c r="AW8" i="2"/>
  <c r="AS8" i="2"/>
  <c r="AO8" i="2"/>
  <c r="AK8" i="2"/>
  <c r="AG8" i="2"/>
  <c r="AC8" i="2"/>
  <c r="Y8" i="2"/>
  <c r="BY72" i="2"/>
  <c r="CE72" i="2"/>
  <c r="CC72" i="2"/>
  <c r="CG128" i="2"/>
  <c r="CA128" i="2"/>
  <c r="BC128" i="2"/>
  <c r="BC127" i="2"/>
  <c r="AU128" i="2"/>
  <c r="AQ128" i="2"/>
  <c r="AQ127" i="2"/>
  <c r="BD127" i="2"/>
  <c r="BD128" i="2"/>
  <c r="BB128" i="2"/>
  <c r="BB127" i="2"/>
  <c r="AV128" i="2"/>
  <c r="AR128" i="2"/>
  <c r="AR127" i="2"/>
  <c r="AL128" i="2"/>
  <c r="AF128" i="2"/>
  <c r="AB128" i="2"/>
  <c r="BO37" i="2"/>
  <c r="BU37" i="2"/>
  <c r="BL37" i="2"/>
  <c r="BH37" i="2"/>
  <c r="BD37" i="2"/>
  <c r="AZ37" i="2"/>
  <c r="AV37" i="2"/>
  <c r="AR37" i="2"/>
  <c r="AN37" i="2"/>
  <c r="AJ37" i="2"/>
  <c r="AF37" i="2"/>
  <c r="AB37" i="2"/>
  <c r="X37" i="2"/>
  <c r="T37" i="2"/>
  <c r="P37" i="2"/>
  <c r="L37" i="2"/>
  <c r="H37" i="2"/>
  <c r="D37" i="2"/>
  <c r="BU69" i="2"/>
  <c r="BM69" i="2"/>
  <c r="AW69" i="2"/>
  <c r="AO69" i="2"/>
  <c r="AG69" i="2"/>
  <c r="Y69" i="2"/>
  <c r="BT37" i="2"/>
  <c r="BP37" i="2"/>
  <c r="BG37" i="2"/>
  <c r="BC37" i="2"/>
  <c r="AY37" i="2"/>
  <c r="AU37" i="2"/>
  <c r="AQ37" i="2"/>
  <c r="AM37" i="2"/>
  <c r="AI37" i="2"/>
  <c r="AE37" i="2"/>
  <c r="AA37" i="2"/>
  <c r="W37" i="2"/>
  <c r="S37" i="2"/>
  <c r="O37" i="2"/>
  <c r="K37" i="2"/>
  <c r="G37" i="2"/>
  <c r="C37" i="2"/>
  <c r="CA8" i="2"/>
  <c r="BT8" i="2"/>
  <c r="BP8" i="2"/>
  <c r="BL8" i="2"/>
  <c r="BH8" i="2"/>
  <c r="BD8" i="2"/>
  <c r="AZ8" i="2"/>
  <c r="AV8" i="2"/>
  <c r="AR8" i="2"/>
  <c r="AN8" i="2"/>
  <c r="AJ8" i="2"/>
  <c r="AF8" i="2"/>
  <c r="AB8" i="2"/>
  <c r="X8" i="2"/>
  <c r="BS8" i="2"/>
  <c r="BO8" i="2"/>
  <c r="BG8" i="2"/>
  <c r="BC8" i="2"/>
  <c r="AY8" i="2"/>
  <c r="AU8" i="2"/>
  <c r="AQ8" i="2"/>
  <c r="AM8" i="2"/>
  <c r="AI8" i="2"/>
  <c r="AE8" i="2"/>
  <c r="AA8" i="2"/>
  <c r="W8" i="2"/>
  <c r="S8" i="2"/>
  <c r="BX68" i="2" l="1"/>
  <c r="BW126" i="2"/>
  <c r="BX72" i="2"/>
  <c r="BZ72" i="2"/>
  <c r="BM128" i="2"/>
  <c r="BM127" i="2"/>
  <c r="BZ6" i="2"/>
  <c r="CB6" i="2"/>
  <c r="BY126" i="2"/>
  <c r="AD37" i="2"/>
  <c r="BZ36" i="2"/>
  <c r="C8" i="2"/>
  <c r="C69" i="2"/>
  <c r="BE126" i="2"/>
  <c r="BV6" i="2"/>
  <c r="BJ128" i="2"/>
  <c r="BJ127" i="2"/>
  <c r="BK126" i="2"/>
  <c r="BK69" i="2" s="1"/>
  <c r="V8" i="2"/>
  <c r="V69" i="2"/>
  <c r="V127" i="2"/>
  <c r="Z8" i="2"/>
  <c r="Z127" i="2"/>
  <c r="AD8" i="2"/>
  <c r="AD127" i="2"/>
  <c r="AH128" i="2"/>
  <c r="AH127" i="2"/>
  <c r="AL8" i="2"/>
  <c r="AL127" i="2"/>
  <c r="AP128" i="2"/>
  <c r="AP127" i="2"/>
  <c r="AW128" i="2"/>
  <c r="AW127" i="2"/>
  <c r="CC6" i="2"/>
  <c r="BQ126" i="2"/>
  <c r="BU128" i="2"/>
  <c r="BU127" i="2"/>
  <c r="CF7" i="2"/>
  <c r="CE7" i="2"/>
  <c r="CH7" i="2"/>
  <c r="R8" i="2"/>
  <c r="R69" i="2"/>
  <c r="R127" i="2"/>
  <c r="X128" i="2"/>
  <c r="X127" i="2"/>
  <c r="AB69" i="2"/>
  <c r="AB127" i="2"/>
  <c r="AF69" i="2"/>
  <c r="AF127" i="2"/>
  <c r="AJ128" i="2"/>
  <c r="AJ127" i="2"/>
  <c r="AN128" i="2"/>
  <c r="AN127" i="2"/>
  <c r="AU69" i="2"/>
  <c r="AU127" i="2"/>
  <c r="AY128" i="2"/>
  <c r="AY127" i="2"/>
  <c r="BO128" i="2"/>
  <c r="BO127" i="2"/>
  <c r="BS128" i="2"/>
  <c r="BS69" i="2"/>
  <c r="BS127" i="2"/>
  <c r="AV69" i="2"/>
  <c r="AV127" i="2"/>
  <c r="BH128" i="2"/>
  <c r="BH127" i="2"/>
  <c r="BL128" i="2"/>
  <c r="BL127" i="2"/>
  <c r="CE6" i="2"/>
  <c r="CH6" i="2"/>
  <c r="CF6" i="2"/>
  <c r="CD126" i="2"/>
  <c r="CB72" i="2"/>
  <c r="BE128" i="2" l="1"/>
  <c r="BE37" i="2"/>
  <c r="BV126" i="2"/>
  <c r="BE127" i="2"/>
  <c r="BE8" i="2"/>
  <c r="BE69" i="2"/>
  <c r="BW8" i="2"/>
  <c r="BW127" i="2"/>
  <c r="BX127" i="2" s="1"/>
  <c r="BW37" i="2"/>
  <c r="BW128" i="2"/>
  <c r="BW69" i="2"/>
  <c r="BX126" i="2"/>
  <c r="BY127" i="2"/>
  <c r="BZ126" i="2"/>
  <c r="BY69" i="2"/>
  <c r="BY37" i="2"/>
  <c r="BY8" i="2"/>
  <c r="BY128" i="2"/>
  <c r="CB126" i="2"/>
  <c r="CD8" i="2"/>
  <c r="CD127" i="2"/>
  <c r="CD69" i="2"/>
  <c r="CH126" i="2"/>
  <c r="CE126" i="2"/>
  <c r="CD37" i="2"/>
  <c r="CD128" i="2"/>
  <c r="CF126" i="2"/>
  <c r="BK128" i="2"/>
  <c r="BK127" i="2"/>
  <c r="BK8" i="2"/>
  <c r="BK37" i="2"/>
  <c r="BQ128" i="2"/>
  <c r="CC128" i="2" s="1"/>
  <c r="BQ127" i="2"/>
  <c r="CC127" i="2" s="1"/>
  <c r="BQ69" i="2"/>
  <c r="CC126" i="2"/>
  <c r="BQ8" i="2"/>
  <c r="BQ37" i="2"/>
  <c r="BX128" i="2" l="1"/>
  <c r="BZ128" i="2"/>
  <c r="CB128" i="2"/>
  <c r="CB127" i="2"/>
  <c r="BZ127" i="2"/>
  <c r="CE127" i="2"/>
  <c r="CH127" i="2"/>
  <c r="CF127" i="2"/>
  <c r="CF128" i="2"/>
  <c r="CH128" i="2"/>
  <c r="CE128" i="2"/>
</calcChain>
</file>

<file path=xl/comments1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H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K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O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S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W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A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E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K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</commentList>
</comments>
</file>

<file path=xl/sharedStrings.xml><?xml version="1.0" encoding="utf-8"?>
<sst xmlns="http://schemas.openxmlformats.org/spreadsheetml/2006/main" count="492" uniqueCount="389">
  <si>
    <t>Приложение №1</t>
  </si>
  <si>
    <t>Анализ доходов бюджета сельского поселения Перегребное</t>
  </si>
  <si>
    <t>Код бюджетной классификации</t>
  </si>
  <si>
    <t>Наименование дохода</t>
  </si>
  <si>
    <t>исполнение за 2011 год</t>
  </si>
  <si>
    <t>РСД от  28.12.2011 № 53</t>
  </si>
  <si>
    <t>РСД от  28.12.2012  №65</t>
  </si>
  <si>
    <t>исполнение за 2012 год</t>
  </si>
  <si>
    <t>РСД от  28.12.2012 № 66</t>
  </si>
  <si>
    <t>РСД от  26.12.2013  № 27</t>
  </si>
  <si>
    <t>исполнение за 2013 год</t>
  </si>
  <si>
    <t>РСД от  26.12.2013 № 28</t>
  </si>
  <si>
    <t>РСД от  26.12.2014  № 48</t>
  </si>
  <si>
    <t>исполнение за 2014 год</t>
  </si>
  <si>
    <t>начисление за 2014 год</t>
  </si>
  <si>
    <t>РСД от  26.12.2014 № 46</t>
  </si>
  <si>
    <t>РСД от  25.12.2015  № 45</t>
  </si>
  <si>
    <t>исполнение за 2015 год</t>
  </si>
  <si>
    <t>начисление за 2015 год</t>
  </si>
  <si>
    <t>РСД от  25.12.2015 № 46</t>
  </si>
  <si>
    <t>РСД от  29.12.2016  № 55</t>
  </si>
  <si>
    <t>исполнение за 2016 год</t>
  </si>
  <si>
    <t>начисление за 2016 год</t>
  </si>
  <si>
    <t>РСД от 29.12.2016 №56</t>
  </si>
  <si>
    <t>РСД от  29.12.2017  № 44</t>
  </si>
  <si>
    <t>исполнение за 2017 год</t>
  </si>
  <si>
    <t>начисление за 2017 год</t>
  </si>
  <si>
    <t>РСД от 29.12.2017 №45</t>
  </si>
  <si>
    <t>РСД от  27.12.2018  № 18</t>
  </si>
  <si>
    <t>исполнение за 2018 год</t>
  </si>
  <si>
    <t>начисление за 2018 год</t>
  </si>
  <si>
    <t>РСД от 27.12.2018 №17</t>
  </si>
  <si>
    <t>РСД от  27.12.2019  № 61</t>
  </si>
  <si>
    <t>исполнение за 2019 год</t>
  </si>
  <si>
    <t>начисление за 2019 год</t>
  </si>
  <si>
    <t>РСД от 16.12.2019 №59</t>
  </si>
  <si>
    <t>РСД от  29.12.2020 № 43</t>
  </si>
  <si>
    <t>исполнение за 2020 год</t>
  </si>
  <si>
    <t>начисление за 2020 год</t>
  </si>
  <si>
    <t>РСД от 22.12.20 №40</t>
  </si>
  <si>
    <t>РСД от 15.04.21 №12</t>
  </si>
  <si>
    <t>РСД от 31.05.21 №16</t>
  </si>
  <si>
    <t>РСД от 14.09.21 №26</t>
  </si>
  <si>
    <t>РСД от 15.11.21 №35</t>
  </si>
  <si>
    <t>РСД от 28.12.2021 №43</t>
  </si>
  <si>
    <t>исполнение за 2021 год</t>
  </si>
  <si>
    <t>начисление за 2021 год</t>
  </si>
  <si>
    <t>РСД от 20.12.21 №41</t>
  </si>
  <si>
    <t>РСД от 21.03.22 №6</t>
  </si>
  <si>
    <t>РСД 14.06.22 №16</t>
  </si>
  <si>
    <t>РСД 20.10.22 №26</t>
  </si>
  <si>
    <t>РСД 23.12.22 №36</t>
  </si>
  <si>
    <t>исполнение за 2022 год</t>
  </si>
  <si>
    <t>начисление за 2022 год</t>
  </si>
  <si>
    <t>РСД от 23.12.2022 №37</t>
  </si>
  <si>
    <t>РСД от 07.04.2023 №14</t>
  </si>
  <si>
    <t>РСД от 29.06.23 №28</t>
  </si>
  <si>
    <t>РСД от 22.12.23 №25</t>
  </si>
  <si>
    <t>ожидаемое исполнение за 2023 год</t>
  </si>
  <si>
    <t>исполнение за 2023 год</t>
  </si>
  <si>
    <t>начисление за 2023 год</t>
  </si>
  <si>
    <t>РСД от 26.12.2023 №27</t>
  </si>
  <si>
    <t>РСД от 01.03.2024 №11</t>
  </si>
  <si>
    <t>РСД от 17.05.2024 №25</t>
  </si>
  <si>
    <t>РСД от 16.09.2024 №41</t>
  </si>
  <si>
    <t>исполнение на 01.10.2024</t>
  </si>
  <si>
    <t>в % от оценки 2024 года</t>
  </si>
  <si>
    <t>Оценка за 2024 год</t>
  </si>
  <si>
    <t>Проект</t>
  </si>
  <si>
    <t>Утвержденные назначения</t>
  </si>
  <si>
    <t xml:space="preserve"> Уточненные назначения</t>
  </si>
  <si>
    <t>Утвержденные назначения на 2020 год</t>
  </si>
  <si>
    <t>Утвержденные назначения на 2021 год</t>
  </si>
  <si>
    <t>Утвержденные назначения на 2022 год</t>
  </si>
  <si>
    <t>Уточненные назначения на 2020 год</t>
  </si>
  <si>
    <t>2021 год</t>
  </si>
  <si>
    <t>2022 год</t>
  </si>
  <si>
    <t>2023 год</t>
  </si>
  <si>
    <t>2024 год</t>
  </si>
  <si>
    <t>2025 год</t>
  </si>
  <si>
    <t>2026 год</t>
  </si>
  <si>
    <t>в % к 2024 году</t>
  </si>
  <si>
    <t>в % к РСД №27</t>
  </si>
  <si>
    <t>в % к 2025 году</t>
  </si>
  <si>
    <t>2027 год</t>
  </si>
  <si>
    <t>в % к 2026 году</t>
  </si>
  <si>
    <t>000 1 00 00000 00 0000 000</t>
  </si>
  <si>
    <t xml:space="preserve">НАЛОГОВЫЕ И НЕНАЛОГОВЫЕ ДОХОДЫ </t>
  </si>
  <si>
    <t>Налоговые доходы</t>
  </si>
  <si>
    <t>удельный вес в общем объеме доходов, %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</si>
  <si>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</si>
  <si>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</si>
  <si>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</si>
  <si>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</si>
  <si>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</si>
  <si>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</si>
  <si>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</si>
  <si>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</si>
  <si>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</si>
  <si>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</si>
  <si>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</si>
  <si>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</si>
  <si>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000 103 00000 00 0000 000</t>
  </si>
  <si>
    <t>Налоги на товары (работы, услуги), реализуемые на территории РФ</t>
  </si>
  <si>
    <t>000 103 02230 01 0000 110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</si>
  <si>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</si>
  <si>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</si>
  <si>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</si>
  <si>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</si>
  <si>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</si>
  <si>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</si>
  <si>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</si>
  <si>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000 1 05 00000 00 0000 000</t>
  </si>
  <si>
    <t>НАЛОГИ НА СОВОКУПНЫЙ ДОХОД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</si>
  <si>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</si>
  <si>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</si>
  <si>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</si>
  <si>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</si>
  <si>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</si>
  <si>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</si>
  <si>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списано</t>
  </si>
  <si>
    <t>182 1 06 04000 02 0000 110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</si>
  <si>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</si>
  <si>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</si>
  <si>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</si>
  <si>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</si>
  <si>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</si>
  <si>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</si>
  <si>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</si>
  <si>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</si>
  <si>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</si>
  <si>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списано 173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</si>
  <si>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</si>
  <si>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</si>
  <si>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</si>
  <si>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</si>
  <si>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</si>
  <si>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</t>
  </si>
  <si>
    <t>650 1 08 07175 01 0000 110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</si>
  <si>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</si>
  <si>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</si>
  <si>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</si>
  <si>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</si>
  <si>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</si>
  <si>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</si>
  <si>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650 1 11 05035 10 0000 120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</si>
  <si>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им-ва б и а у)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</si>
  <si>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</si>
  <si>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</si>
  <si>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000 1 11 05325 10 0000 120
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</si>
  <si>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</si>
  <si>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650 1 11 09045 10 0000 120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</si>
  <si>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</si>
  <si>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11109…/172</t>
  </si>
  <si>
    <t>учр</t>
  </si>
  <si>
    <t>000 1 13  00000 00 0000 000</t>
  </si>
  <si>
    <t>ДОХОДЫ ОТ ОКАЗАНИЯ ПЛАТНЫХ УСЛУГ (РАБОТ) И КОМПЕНСАЦИИ ЗАТРАТ ГОСУДАРСТВА</t>
  </si>
  <si>
    <t>650 1 13 01995 10 0000 130</t>
  </si>
  <si>
    <t>Прочие доходы от оказания платных услуг (работ) получателями средств бюджетов сельских поселений</t>
  </si>
  <si>
    <t>650 1 13 02995 10 0000 130/135</t>
  </si>
  <si>
    <t>Прочие доходы от компенсации затрат бюджетов сельских  поселений</t>
  </si>
  <si>
    <t>000 1 14 00000 00 0000 000</t>
  </si>
  <si>
    <t>ДОХОДЫ ОТ ПРОДАЖИ МАТЕРИАЛЬНЫХ И НЕМАТЕРИАЛЬНЫХ АКТИВОВ</t>
  </si>
  <si>
    <t xml:space="preserve"> 650 1 14 02053 10 0000 410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</si>
  <si>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</si>
  <si>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650 1 14 02053 10 0000 440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</si>
  <si>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</si>
  <si>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>650 1 14 06025 10 0000 430</t>
  </si>
  <si>
    <t>Доходы от продажи земельных участков, находящихся в собственности сельских поселений (за исключением земельных участков, находящихся в собственности муниципальных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</si>
  <si>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</si>
  <si>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</t>
  </si>
  <si>
    <t>000 1 16 00000 00 0000 000</t>
  </si>
  <si>
    <t>ШТРАФЫ, САНКЦИИ, ВОЗМЕЩЕНИЕ УЩЕРБА</t>
  </si>
  <si>
    <t>650 1 16 23051 10 0000 140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</si>
  <si>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 </t>
  </si>
  <si>
    <t>650 1 16 23052 10 0000 140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</si>
  <si>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</si>
  <si>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000 1 16 10123 01 0000 140/145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</si>
  <si>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</si>
  <si>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000 1 16 07010 10 0000 140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</si>
  <si>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</si>
  <si>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1 1 16 07010 10 0000 140/174
</t>
  </si>
  <si>
    <t>выпадающие доходы</t>
  </si>
  <si>
    <t>188 1 16 30015 01 0000 140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</si>
  <si>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</t>
  </si>
  <si>
    <t>000 1 16 10123 01 0101 140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</si>
  <si>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</si>
  <si>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</si>
  <si>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</si>
  <si>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650 1 17 00000 00 0000 000 </t>
  </si>
  <si>
    <t>Прочие неналоговые доходы</t>
  </si>
  <si>
    <t>000 1 17 01050 10 0000 180</t>
  </si>
  <si>
    <t>Невыясненные поступления, зачисляемые в бюджеты сельских поселений</t>
  </si>
  <si>
    <t>000 1 17 15030 10 0000 150</t>
  </si>
  <si>
    <t>Инициативные платежи, зачисляемые в бюджеты сельских поселений</t>
  </si>
  <si>
    <t>117/199</t>
  </si>
  <si>
    <t>000 2 00 00000 00 0000 000</t>
  </si>
  <si>
    <t>БЕЗВОЗМЕЗДНЫЕ ПОСТУПЛЕНИЯ</t>
  </si>
  <si>
    <t>000 2 02 00000 00 0000 000</t>
  </si>
  <si>
    <t>Безвозмездные  поступления от других  бюджетов бюджетной системы РФ</t>
  </si>
  <si>
    <t>Безвозмездные  поступления от других  бюджетов бюджетной системы РФ без учета дотаций</t>
  </si>
  <si>
    <t>000 2 02 10000 00 0000 150</t>
  </si>
  <si>
    <t>Дотации бюджетам бюджетной системы Российской Федерации</t>
  </si>
  <si>
    <t>650 2 02 15001 10 0000 150</t>
  </si>
  <si>
    <t xml:space="preserve">Дотации бюджетам сельских поселений на выравнивание бюджетной обеспеченности из бюджета субъекта РФ </t>
  </si>
  <si>
    <t>650 2 02 15002 10 0000 150</t>
  </si>
  <si>
    <t>Дотации бюджетам сельских поселений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</si>
  <si>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</si>
  <si>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</si>
  <si>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650 2 02 20041 10 0000 150</t>
  </si>
  <si>
    <t>Субсидии бюджетам  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</si>
  <si>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</si>
  <si>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</si>
  <si>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</si>
  <si>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 xml:space="preserve">Субсидии бюджетам поселений на реализацию программы энергосбережения и повышения энергетической эффективности на период до 2020 года </t>
  </si>
  <si>
    <t>650 2 02 29999 10 0000 150</t>
  </si>
  <si>
    <t>Прочие субсидии бюджетам сельских поселений</t>
  </si>
  <si>
    <t>ЖКК и ГС в МООР</t>
  </si>
  <si>
    <t>профилактика правонарушений</t>
  </si>
  <si>
    <t>Наш дом на 2011-2015 годы</t>
  </si>
  <si>
    <t>Культура Югры на 2009-2013</t>
  </si>
  <si>
    <t xml:space="preserve">энергосбережение </t>
  </si>
  <si>
    <t>наш дом (дорожн.фонд)</t>
  </si>
  <si>
    <t>инициативн пр МП Развитие гражданского общества в МООР</t>
  </si>
  <si>
    <t>000 2 02 30000 00 0000 150</t>
  </si>
  <si>
    <t>Субвенции бюджетам бюджетной системы Российской Федерации</t>
  </si>
  <si>
    <t>650 2 02 30024 10 0000 150</t>
  </si>
  <si>
    <t>Субвенции бюджетам сельских поселений на выполнение передаваемых полномочий субъектов РФ</t>
  </si>
  <si>
    <t>650 2 02 35930 10 0000 150</t>
  </si>
  <si>
    <t>Субвенции бюджетам сельских поселений на государственную регистрацию актов гражданского состояния</t>
  </si>
  <si>
    <t>650 2 02 35118 10 0000 150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</si>
  <si>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</si>
  <si>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000 2 02 40000 0000 150</t>
  </si>
  <si>
    <t>Иные межбюджетные трансферты</t>
  </si>
  <si>
    <t xml:space="preserve">650
2 02 45160 10 0000 150
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</si>
  <si>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</si>
  <si>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000 2 02 04029 10 0000150</t>
  </si>
  <si>
    <t xml:space="preserve">Межбюджетные трансферты, передаваемые бюджетам сельских поселений на реализацию дополнительных мероприятий,направленных на снижение напряженности на рынке труда </t>
  </si>
  <si>
    <t xml:space="preserve">650
2 02 49999 10 0000 150
</t>
  </si>
  <si>
    <t>Прочие межбюджетные трансферты, передаваемые бюджетам сельских поселений</t>
  </si>
  <si>
    <t xml:space="preserve">Современная транспортная система </t>
  </si>
  <si>
    <t xml:space="preserve">Содействие занятости населения </t>
  </si>
  <si>
    <t>Развитие физической культуры и спорта на территории ОР</t>
  </si>
  <si>
    <r>
      <t>МП "</t>
    </r>
    <r>
      <rPr>
        <b/>
        <sz val="10"/>
        <rFont val="Times New Roman"/>
        <family val="1"/>
        <charset val="204"/>
      </rPr>
      <t>Развитие культуры и туризма в МООР</t>
    </r>
    <r>
      <rPr>
        <sz val="10"/>
        <rFont val="Times New Roman"/>
        <family val="1"/>
        <charset val="204"/>
      </rPr>
      <t xml:space="preserve">" </t>
    </r>
  </si>
  <si>
    <t>МП "ЖКК в МООР"</t>
  </si>
  <si>
    <t>МП Пространственное развитие и ФКГС в МООР"</t>
  </si>
  <si>
    <t>Безопасность жизнедеятельности в  МООР</t>
  </si>
  <si>
    <t>наказы избирателей</t>
  </si>
  <si>
    <t>профилактика экстремизма</t>
  </si>
  <si>
    <t>профилактика терроризма</t>
  </si>
  <si>
    <t>Экологическая безопасность в МООР</t>
  </si>
  <si>
    <t>Доступная среда в МООР</t>
  </si>
  <si>
    <t>мобилизация</t>
  </si>
  <si>
    <t xml:space="preserve">содействие местному самоуправлению в развитии культурно-исторических традиций </t>
  </si>
  <si>
    <t>на повыш оплаты труда работников МУ культуры в целях реализации указов Президента РФ</t>
  </si>
  <si>
    <t>Развитие гражданского общества в МООР (иниц бюдж)</t>
  </si>
  <si>
    <t xml:space="preserve">на грантовую поддержку по итогам работы органов местного самоуправления в рамках муниципальной программы «Управление муниципальными финансами в Октябрьском районе» </t>
  </si>
  <si>
    <t>МП "Развитие АПК в МООР"</t>
  </si>
  <si>
    <t>Устойчивое развитие КМНС в МООР</t>
  </si>
  <si>
    <t>МП "Управление муниципальной собственностью в МООР"</t>
  </si>
  <si>
    <t>Развитие образования</t>
  </si>
  <si>
    <t>на поддержку мер по обеспечению сбалансированности бюджетов</t>
  </si>
  <si>
    <t>000 202 90024 10 0000 150</t>
  </si>
  <si>
    <t>Прочие безвозмездные поступления в бюджеты сельских поселений от бюджетов субъектов Российской Федерации</t>
  </si>
  <si>
    <t>000 2 07 00000 10 0000 150</t>
  </si>
  <si>
    <t>ПРОЧИЕ БЕЗВОЗМЕЗДНЫЕ ПОСТУПЛЕНИЯ</t>
  </si>
  <si>
    <t>650 2 07 05000 10 0000 150/155</t>
  </si>
  <si>
    <t>Прочие безвозмездные поступления в бюджеты сельских поселений</t>
  </si>
  <si>
    <t>000 2 07 10100 10 0000 196/195</t>
  </si>
  <si>
    <t xml:space="preserve">Безвозмездные межбюджетные неденежные поступления в бюджеты сельских поселений
/ капитального характера от сектора государственного управления и организаций государственного сектора
</t>
  </si>
  <si>
    <t>000 2 07 10100 10 0000 196/191</t>
  </si>
  <si>
    <t xml:space="preserve">Безвозмездные межбюджетные неденежные поступления в бюджеты сельских поселений/ текущего характера от сектора государственного управления и организаций государственного сектора
</t>
  </si>
  <si>
    <t>000 2 07 10100 10 0000 199/199</t>
  </si>
  <si>
    <t xml:space="preserve">Прочие безвозмездные неденежные поступления в бюджеты сельских поселений
/Прочие неденежные безвозмездные поступления
</t>
  </si>
  <si>
    <t>650 2 19 05000 10 0000 150</t>
  </si>
  <si>
    <t>Возврат остатков субсидий, субвенций и иных межбюджетных трансфертов, имеющих целевое значение, прошлых лет из бюджетов сельских поселений</t>
  </si>
  <si>
    <t>ВСЕГО ДОХОДОВ</t>
  </si>
  <si>
    <t xml:space="preserve">Доля дотаций из других бюджетов бюджетной системы Российской Федерации и (или) налоговых доходов по дополнительным нормативам отчислений в собственных доходах местного бюджета,  %
</t>
  </si>
  <si>
    <t>в % к 2023 году</t>
  </si>
  <si>
    <t>в % к 2022 году</t>
  </si>
  <si>
    <t>Приложение №2</t>
  </si>
  <si>
    <t xml:space="preserve">Анализ расходов  бюджета поселения Перегребное по разделам и подразделам классификации расходов бюджета </t>
  </si>
  <si>
    <t>Наименование</t>
  </si>
  <si>
    <t>Рз</t>
  </si>
  <si>
    <t>ПР</t>
  </si>
  <si>
    <t xml:space="preserve">Исполнение бюджета за 2011 год </t>
  </si>
  <si>
    <t>Исполнение бюджета за 2012 год</t>
  </si>
  <si>
    <t>Исполнение за 2013 год</t>
  </si>
  <si>
    <t>Исполнение за 2014 год</t>
  </si>
  <si>
    <t>Исполнение за 2015 год</t>
  </si>
  <si>
    <t>Исполнение за 2016 год</t>
  </si>
  <si>
    <t>Исполнение за 2017 год</t>
  </si>
  <si>
    <t xml:space="preserve">Исполнение за 2018 год </t>
  </si>
  <si>
    <t>Исполнение за 2019 год</t>
  </si>
  <si>
    <t>Исполнение за 2020 год</t>
  </si>
  <si>
    <t>Исполнение за 2021 год</t>
  </si>
  <si>
    <t>Исполнение за 2022 год</t>
  </si>
  <si>
    <t>Исполнение за 2023 год</t>
  </si>
  <si>
    <t>РСД от 26.12.23 №27, на 2024 год</t>
  </si>
  <si>
    <t>РСД от 01.03.24 №11</t>
  </si>
  <si>
    <t>Исполнение за 1 кв. 24 г.</t>
  </si>
  <si>
    <t>РСД от 17.05.24 №25, на 2024 год</t>
  </si>
  <si>
    <t>РСД от 16.09.24 №41, на 2024 год</t>
  </si>
  <si>
    <t>Исполнение за 9 мес 024 год</t>
  </si>
  <si>
    <t>Оценка 2024 год</t>
  </si>
  <si>
    <t>Проект на 2025  год</t>
  </si>
  <si>
    <t>Проект на 2026 год</t>
  </si>
  <si>
    <t>Проект на 2027 год</t>
  </si>
  <si>
    <t>Структура оценки 2024 г., %</t>
  </si>
  <si>
    <t>Структура  2025 г., %</t>
  </si>
  <si>
    <t>Структура  2026 г., %</t>
  </si>
  <si>
    <t>Структура  2027 г., %</t>
  </si>
  <si>
    <t>% исполнения на 01.04.24 от Проекта</t>
  </si>
  <si>
    <t>РСД от 26.12.23 №27, на 2025 год</t>
  </si>
  <si>
    <t>РСД от 26.12.23 №27, на 2026 год</t>
  </si>
  <si>
    <t>Общегосударственные вопросы</t>
  </si>
  <si>
    <t>01</t>
  </si>
  <si>
    <t>03</t>
  </si>
  <si>
    <t>10</t>
  </si>
  <si>
    <t>32</t>
  </si>
  <si>
    <t>50</t>
  </si>
  <si>
    <t>Функционирование высшего должностного лица муниципального образования</t>
  </si>
  <si>
    <t>02</t>
  </si>
  <si>
    <t>3322,89</t>
  </si>
  <si>
    <t>Функционирование местных администраций</t>
  </si>
  <si>
    <t>04</t>
  </si>
  <si>
    <t>6503,527</t>
  </si>
  <si>
    <t>Обеспечение деятелньости финансовых, налоговых и таможенных органов и органов ифнансового (финансово - бюджетного) надзора</t>
  </si>
  <si>
    <t>06</t>
  </si>
  <si>
    <t>Обеспечение проведения выборов и референдумов</t>
  </si>
  <si>
    <t>07</t>
  </si>
  <si>
    <t>0</t>
  </si>
  <si>
    <t>Резервные фонды</t>
  </si>
  <si>
    <t>11</t>
  </si>
  <si>
    <t>Другие общегосударственные вопросы</t>
  </si>
  <si>
    <t>13</t>
  </si>
  <si>
    <t>2003,602</t>
  </si>
  <si>
    <t>Национальная оборона</t>
  </si>
  <si>
    <t>Мобилизационная  и вневойсковая подготовка</t>
  </si>
  <si>
    <t>356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</si>
  <si>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</si>
  <si>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</si>
  <si>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</si>
  <si>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</si>
  <si>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194,186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</si>
  <si>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</si>
  <si>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</si>
  <si>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</si>
  <si>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</si>
  <si>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</si>
  <si>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1135,431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</si>
  <si>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</si>
  <si>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</si>
  <si>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</si>
  <si>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</si>
  <si>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</si>
  <si>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</si>
  <si>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242,937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</si>
  <si>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</si>
  <si>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</si>
  <si>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</si>
  <si>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</si>
  <si>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3686,296</t>
  </si>
  <si>
    <t>Коммунальное  хозяйство</t>
  </si>
  <si>
    <t>390,11</t>
  </si>
  <si>
    <t>Благоустройство</t>
  </si>
  <si>
    <t>9518,917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</si>
  <si>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</si>
  <si>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</si>
  <si>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</si>
  <si>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</si>
  <si>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</si>
  <si>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 xml:space="preserve">Культура, кинематография </t>
  </si>
  <si>
    <t xml:space="preserve">Культура </t>
  </si>
  <si>
    <t>5841,781</t>
  </si>
  <si>
    <t>Кинематография</t>
  </si>
  <si>
    <t>120,037</t>
  </si>
  <si>
    <t>Другие вопросы в области социальной политики</t>
  </si>
  <si>
    <t>Здравоохранение</t>
  </si>
  <si>
    <t>Санитарно - эпидемиологическое благополучие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</si>
  <si>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</si>
  <si>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</si>
  <si>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</si>
  <si>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</si>
  <si>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34,376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</si>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</sst>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_р_."/>
    <numFmt numFmtId="165" formatCode="0.0"/>
    <numFmt numFmtId="166" formatCode="#,##0.00000_р_."/>
    <numFmt numFmtId="167" formatCode="#,##0.000_р_."/>
    <numFmt numFmtId="168" formatCode="#,##0_р_."/>
    <numFmt numFmtId="169" formatCode="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4" fillId="0" borderId="0"/>
    <xf numFmtId="0" fontId="3" fillId="0" borderId="0"/>
    <xf numFmtId="0" fontId="4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7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4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0" fillId="0" borderId="0" xfId="0" applyFill="1"/>
    <xf numFmtId="0" fontId="8" fillId="0" borderId="0" xfId="6" applyFont="1" applyFill="1" applyAlignment="1" applyProtection="1">
      <protection hidden="1"/>
    </xf>
    <xf numFmtId="0" fontId="9" fillId="0" borderId="0" xfId="0" applyFont="1" applyFill="1"/>
    <xf numFmtId="0" fontId="0" fillId="0" borderId="0" xfId="0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5" fillId="0" borderId="0" xfId="0" applyFont="1" applyFill="1" applyAlignment="1">
      <alignment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165" fontId="15" fillId="0" borderId="8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vertical="top" wrapText="1"/>
    </xf>
    <xf numFmtId="0" fontId="16" fillId="0" borderId="0" xfId="0" applyFont="1" applyFill="1"/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164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68" fontId="15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0" xfId="1" applyFont="1" applyFill="1"/>
    <xf numFmtId="0" fontId="12" fillId="2" borderId="0" xfId="6" applyFont="1" applyFill="1" applyAlignment="1" applyProtection="1">
      <alignment horizontal="right"/>
      <protection hidden="1"/>
    </xf>
    <xf numFmtId="0" fontId="21" fillId="2" borderId="0" xfId="35" applyFont="1" applyFill="1"/>
    <xf numFmtId="0" fontId="21" fillId="2" borderId="0" xfId="35" applyFont="1" applyFill="1" applyAlignment="1">
      <alignment horizontal="center" vertical="center"/>
    </xf>
    <xf numFmtId="0" fontId="21" fillId="2" borderId="0" xfId="35" applyFont="1" applyFill="1" applyAlignment="1">
      <alignment horizontal="center"/>
    </xf>
    <xf numFmtId="0" fontId="12" fillId="2" borderId="0" xfId="35" applyFont="1" applyFill="1" applyAlignment="1">
      <alignment horizontal="center" vertical="center"/>
    </xf>
    <xf numFmtId="0" fontId="12" fillId="2" borderId="0" xfId="35" applyFont="1" applyFill="1"/>
    <xf numFmtId="0" fontId="21" fillId="3" borderId="0" xfId="35" applyFont="1" applyFill="1"/>
    <xf numFmtId="0" fontId="21" fillId="2" borderId="0" xfId="35" applyFont="1" applyFill="1" applyAlignment="1">
      <alignment horizontal="right" vertical="top"/>
    </xf>
    <xf numFmtId="0" fontId="21" fillId="2" borderId="0" xfId="35" applyFont="1" applyFill="1" applyAlignment="1">
      <alignment vertical="top"/>
    </xf>
    <xf numFmtId="0" fontId="13" fillId="2" borderId="9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/>
    </xf>
    <xf numFmtId="0" fontId="22" fillId="2" borderId="2" xfId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165" fontId="22" fillId="2" borderId="2" xfId="36" applyNumberFormat="1" applyFont="1" applyFill="1" applyBorder="1" applyAlignment="1">
      <alignment horizontal="center" vertical="center" wrapText="1"/>
    </xf>
    <xf numFmtId="165" fontId="22" fillId="2" borderId="1" xfId="36" applyNumberFormat="1" applyFont="1" applyFill="1" applyBorder="1" applyAlignment="1">
      <alignment horizontal="center" vertical="center" wrapText="1"/>
    </xf>
    <xf numFmtId="0" fontId="22" fillId="2" borderId="1" xfId="36" applyNumberFormat="1" applyFont="1" applyFill="1" applyBorder="1" applyAlignment="1" applyProtection="1">
      <alignment horizontal="center" vertical="center" wrapText="1"/>
      <protection hidden="1"/>
    </xf>
    <xf numFmtId="0" fontId="22" fillId="2" borderId="1" xfId="37" applyNumberFormat="1" applyFont="1" applyFill="1" applyBorder="1" applyAlignment="1" applyProtection="1">
      <alignment horizontal="center" vertical="center" wrapText="1"/>
      <protection hidden="1"/>
    </xf>
    <xf numFmtId="2" fontId="22" fillId="2" borderId="1" xfId="36" applyNumberFormat="1" applyFont="1" applyFill="1" applyBorder="1" applyAlignment="1" applyProtection="1">
      <alignment horizontal="center" vertical="center" wrapText="1"/>
      <protection hidden="1"/>
    </xf>
    <xf numFmtId="0" fontId="22" fillId="3" borderId="1" xfId="37" applyNumberFormat="1" applyFont="1" applyFill="1" applyBorder="1" applyAlignment="1" applyProtection="1">
      <alignment horizontal="center" vertical="center" wrapText="1"/>
      <protection hidden="1"/>
    </xf>
    <xf numFmtId="0" fontId="23" fillId="2" borderId="0" xfId="35" applyFont="1" applyFill="1" applyAlignment="1">
      <alignment horizontal="center" vertical="center"/>
    </xf>
    <xf numFmtId="0" fontId="13" fillId="2" borderId="1" xfId="35" applyFont="1" applyFill="1" applyBorder="1" applyAlignment="1">
      <alignment horizontal="left" vertical="center" wrapText="1"/>
    </xf>
    <xf numFmtId="49" fontId="13" fillId="2" borderId="1" xfId="35" applyNumberFormat="1" applyFont="1" applyFill="1" applyBorder="1" applyAlignment="1">
      <alignment horizontal="center" vertical="center" wrapText="1"/>
    </xf>
    <xf numFmtId="165" fontId="13" fillId="2" borderId="1" xfId="35" applyNumberFormat="1" applyFont="1" applyFill="1" applyBorder="1" applyAlignment="1">
      <alignment horizontal="center" vertical="center" wrapText="1"/>
    </xf>
    <xf numFmtId="165" fontId="13" fillId="3" borderId="1" xfId="35" applyNumberFormat="1" applyFont="1" applyFill="1" applyBorder="1" applyAlignment="1">
      <alignment horizontal="center" vertical="center" wrapText="1"/>
    </xf>
    <xf numFmtId="0" fontId="24" fillId="2" borderId="0" xfId="35" applyFont="1" applyFill="1"/>
    <xf numFmtId="0" fontId="12" fillId="2" borderId="1" xfId="35" applyFont="1" applyFill="1" applyBorder="1" applyAlignment="1">
      <alignment horizontal="left" vertical="center" wrapText="1"/>
    </xf>
    <xf numFmtId="49" fontId="12" fillId="2" borderId="1" xfId="35" applyNumberFormat="1" applyFont="1" applyFill="1" applyBorder="1" applyAlignment="1">
      <alignment horizontal="center" vertical="center" wrapText="1"/>
    </xf>
    <xf numFmtId="164" fontId="12" fillId="2" borderId="1" xfId="35" applyNumberFormat="1" applyFont="1" applyFill="1" applyBorder="1" applyAlignment="1">
      <alignment horizontal="center" vertical="center" wrapText="1"/>
    </xf>
    <xf numFmtId="165" fontId="21" fillId="2" borderId="1" xfId="35" applyNumberFormat="1" applyFont="1" applyFill="1" applyBorder="1" applyAlignment="1">
      <alignment horizontal="center" vertical="center"/>
    </xf>
    <xf numFmtId="0" fontId="21" fillId="2" borderId="1" xfId="35" applyFont="1" applyFill="1" applyBorder="1" applyAlignment="1">
      <alignment horizontal="center" vertical="center"/>
    </xf>
    <xf numFmtId="165" fontId="12" fillId="2" borderId="1" xfId="35" applyNumberFormat="1" applyFont="1" applyFill="1" applyBorder="1" applyAlignment="1">
      <alignment horizontal="center" vertical="center"/>
    </xf>
    <xf numFmtId="165" fontId="12" fillId="2" borderId="1" xfId="35" applyNumberFormat="1" applyFont="1" applyFill="1" applyBorder="1" applyAlignment="1">
      <alignment horizontal="center" vertical="center" wrapText="1"/>
    </xf>
    <xf numFmtId="165" fontId="12" fillId="3" borderId="1" xfId="35" applyNumberFormat="1" applyFont="1" applyFill="1" applyBorder="1" applyAlignment="1">
      <alignment horizontal="center" vertical="center" wrapText="1"/>
    </xf>
    <xf numFmtId="164" fontId="13" fillId="2" borderId="1" xfId="35" applyNumberFormat="1" applyFont="1" applyFill="1" applyBorder="1" applyAlignment="1">
      <alignment horizontal="center" vertical="center" wrapText="1"/>
    </xf>
    <xf numFmtId="0" fontId="12" fillId="2" borderId="1" xfId="35" applyFont="1" applyFill="1" applyBorder="1" applyAlignment="1">
      <alignment vertical="center"/>
    </xf>
    <xf numFmtId="0" fontId="21" fillId="2" borderId="1" xfId="35" applyFont="1" applyFill="1" applyBorder="1" applyAlignment="1">
      <alignment horizontal="left" vertical="center" wrapText="1"/>
    </xf>
    <xf numFmtId="164" fontId="21" fillId="2" borderId="1" xfId="35" applyNumberFormat="1" applyFont="1" applyFill="1" applyBorder="1" applyAlignment="1">
      <alignment horizontal="center" vertical="center"/>
    </xf>
    <xf numFmtId="165" fontId="13" fillId="2" borderId="1" xfId="35" applyNumberFormat="1" applyFont="1" applyFill="1" applyBorder="1" applyAlignment="1">
      <alignment horizontal="center" vertical="center"/>
    </xf>
    <xf numFmtId="0" fontId="12" fillId="2" borderId="1" xfId="36" applyNumberFormat="1" applyFont="1" applyFill="1" applyBorder="1" applyAlignment="1" applyProtection="1">
      <alignment horizontal="left" vertical="center" wrapText="1"/>
      <protection hidden="1"/>
    </xf>
    <xf numFmtId="0" fontId="13" fillId="2" borderId="1" xfId="4" applyNumberFormat="1" applyFont="1" applyFill="1" applyBorder="1" applyAlignment="1" applyProtection="1">
      <alignment vertical="center" wrapText="1"/>
      <protection hidden="1"/>
    </xf>
    <xf numFmtId="169" fontId="13" fillId="2" borderId="1" xfId="4" applyNumberFormat="1" applyFont="1" applyFill="1" applyBorder="1" applyAlignment="1" applyProtection="1">
      <alignment horizontal="center" vertical="center"/>
      <protection hidden="1"/>
    </xf>
    <xf numFmtId="164" fontId="24" fillId="2" borderId="1" xfId="35" applyNumberFormat="1" applyFont="1" applyFill="1" applyBorder="1" applyAlignment="1">
      <alignment horizontal="center" vertical="center"/>
    </xf>
    <xf numFmtId="0" fontId="24" fillId="2" borderId="1" xfId="35" applyFont="1" applyFill="1" applyBorder="1" applyAlignment="1">
      <alignment horizontal="center" vertical="center"/>
    </xf>
    <xf numFmtId="165" fontId="24" fillId="2" borderId="1" xfId="35" applyNumberFormat="1" applyFont="1" applyFill="1" applyBorder="1" applyAlignment="1">
      <alignment horizontal="center" vertical="center"/>
    </xf>
    <xf numFmtId="0" fontId="12" fillId="2" borderId="1" xfId="4" applyNumberFormat="1" applyFont="1" applyFill="1" applyBorder="1" applyAlignment="1" applyProtection="1">
      <alignment wrapText="1"/>
      <protection hidden="1"/>
    </xf>
    <xf numFmtId="169" fontId="12" fillId="2" borderId="1" xfId="4" applyNumberFormat="1" applyFont="1" applyFill="1" applyBorder="1" applyAlignment="1" applyProtection="1">
      <alignment horizontal="center" vertical="center"/>
      <protection hidden="1"/>
    </xf>
    <xf numFmtId="0" fontId="24" fillId="2" borderId="1" xfId="35" applyFont="1" applyFill="1" applyBorder="1" applyAlignment="1">
      <alignment horizontal="left" vertical="center" wrapText="1"/>
    </xf>
    <xf numFmtId="2" fontId="12" fillId="2" borderId="1" xfId="35" applyNumberFormat="1" applyFont="1" applyFill="1" applyBorder="1" applyAlignment="1">
      <alignment horizontal="center" vertical="center" wrapText="1"/>
    </xf>
    <xf numFmtId="2" fontId="13" fillId="2" borderId="1" xfId="35" applyNumberFormat="1" applyFont="1" applyFill="1" applyBorder="1" applyAlignment="1">
      <alignment horizontal="center" vertical="center" wrapText="1"/>
    </xf>
    <xf numFmtId="0" fontId="12" fillId="2" borderId="2" xfId="35" applyFont="1" applyFill="1" applyBorder="1" applyAlignment="1">
      <alignment horizontal="left" vertical="center" wrapText="1"/>
    </xf>
    <xf numFmtId="0" fontId="12" fillId="2" borderId="2" xfId="6" applyNumberFormat="1" applyFont="1" applyFill="1" applyBorder="1" applyAlignment="1" applyProtection="1">
      <alignment horizontal="left" vertical="center" wrapText="1"/>
      <protection hidden="1"/>
    </xf>
    <xf numFmtId="169" fontId="12" fillId="2" borderId="1" xfId="6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6" applyNumberFormat="1" applyFont="1" applyFill="1" applyBorder="1" applyAlignment="1" applyProtection="1">
      <alignment horizontal="left" vertical="center" wrapText="1"/>
      <protection hidden="1"/>
    </xf>
  </cellXfs>
  <cellStyles count="38">
    <cellStyle name="Обычный" xfId="0" builtinId="0"/>
    <cellStyle name="Обычный 2" xfId="8"/>
    <cellStyle name="Обычный 2 10" xfId="9"/>
    <cellStyle name="Обычный 2 11" xfId="10"/>
    <cellStyle name="Обычный 2 12" xfId="11"/>
    <cellStyle name="Обычный 2 13" xfId="12"/>
    <cellStyle name="Обычный 2 14" xfId="13"/>
    <cellStyle name="Обычный 2 15" xfId="14"/>
    <cellStyle name="Обычный 2 16" xfId="15"/>
    <cellStyle name="Обычный 2 17" xfId="16"/>
    <cellStyle name="Обычный 2 18" xfId="17"/>
    <cellStyle name="Обычный 2 19" xfId="18"/>
    <cellStyle name="Обычный 2 2" xfId="4"/>
    <cellStyle name="Обычный 2 20" xfId="19"/>
    <cellStyle name="Обычный 2 21" xfId="20"/>
    <cellStyle name="Обычный 2 22" xfId="2"/>
    <cellStyle name="Обычный 2 22 2" xfId="35"/>
    <cellStyle name="Обычный 2 23" xfId="21"/>
    <cellStyle name="Обычный 2 24" xfId="22"/>
    <cellStyle name="Обычный 2 25" xfId="7"/>
    <cellStyle name="Обычный 2 3" xfId="23"/>
    <cellStyle name="Обычный 2 4" xfId="24"/>
    <cellStyle name="Обычный 2 5" xfId="25"/>
    <cellStyle name="Обычный 2 6" xfId="26"/>
    <cellStyle name="Обычный 2 7" xfId="27"/>
    <cellStyle name="Обычный 2 8" xfId="28"/>
    <cellStyle name="Обычный 2 9" xfId="29"/>
    <cellStyle name="Обычный 3" xfId="30"/>
    <cellStyle name="Обычный 3 2" xfId="3"/>
    <cellStyle name="Обычный 5" xfId="1"/>
    <cellStyle name="Обычный 6" xfId="31"/>
    <cellStyle name="Обычный 7" xfId="32"/>
    <cellStyle name="Обычный_Tmp2" xfId="6"/>
    <cellStyle name="Обычный_Tmp7" xfId="36"/>
    <cellStyle name="Обычный_Tmp7 2" xfId="37"/>
    <cellStyle name="Процентный 2" xfId="33"/>
    <cellStyle name="Процентный 2 2" xfId="34"/>
    <cellStyle name="Процент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H141"/>
  <sheetViews>
    <sheetView workbookViewId="0">
      <pane xSplit="2" ySplit="5" topLeftCell="AV25" activePane="bottomRight" state="frozen"/>
      <selection pane="topRight" activeCell="C1" sqref="C1"/>
      <selection pane="bottomLeft" activeCell="A6" sqref="A6"/>
      <selection pane="bottomRight" activeCell="BV76" sqref="BV76"/>
    </sheetView>
  </sheetViews>
  <sheetFormatPr defaultRowHeight="22.5" customHeight="1" x14ac:dyDescent="0.25"/>
  <cols>
    <col min="1" max="1" width="17.140625" style="1" customWidth="1"/>
    <col min="2" max="2" width="38.7109375" style="1" customWidth="1"/>
    <col min="3" max="5" width="9.42578125" style="1" hidden="1" customWidth="1"/>
    <col min="6" max="6" width="12.5703125" style="1" hidden="1" customWidth="1"/>
    <col min="7" max="7" width="9.5703125" style="1" hidden="1" customWidth="1"/>
    <col min="8" max="8" width="12" style="1" hidden="1" customWidth="1"/>
    <col min="9" max="9" width="12.5703125" style="1" hidden="1" customWidth="1"/>
    <col min="10" max="10" width="9.5703125" style="1" hidden="1" customWidth="1"/>
    <col min="11" max="11" width="12" style="1" hidden="1" customWidth="1"/>
    <col min="12" max="12" width="8.85546875" style="1" hidden="1" customWidth="1"/>
    <col min="13" max="13" width="12.5703125" style="1" hidden="1" customWidth="1"/>
    <col min="14" max="14" width="9.5703125" style="1" hidden="1" customWidth="1"/>
    <col min="15" max="15" width="12" style="1" hidden="1" customWidth="1"/>
    <col min="16" max="16" width="9.85546875" style="1" hidden="1" customWidth="1"/>
    <col min="17" max="17" width="12.5703125" style="1" hidden="1" customWidth="1"/>
    <col min="18" max="18" width="9.5703125" style="1" hidden="1" customWidth="1"/>
    <col min="19" max="19" width="12" style="1" hidden="1" customWidth="1"/>
    <col min="20" max="20" width="9.7109375" style="1" hidden="1" customWidth="1"/>
    <col min="21" max="21" width="12.140625" style="1" hidden="1" customWidth="1"/>
    <col min="22" max="23" width="11" style="1" hidden="1" customWidth="1"/>
    <col min="24" max="24" width="10.42578125" style="1" hidden="1" customWidth="1"/>
    <col min="25" max="25" width="9.28515625" style="1" hidden="1" customWidth="1"/>
    <col min="26" max="26" width="10.5703125" style="1" hidden="1" customWidth="1"/>
    <col min="27" max="27" width="8.42578125" style="1" hidden="1" customWidth="1"/>
    <col min="28" max="28" width="10.7109375" style="1" hidden="1" customWidth="1"/>
    <col min="29" max="29" width="10.85546875" style="1" hidden="1" customWidth="1"/>
    <col min="30" max="31" width="10.7109375" style="1" hidden="1" customWidth="1"/>
    <col min="32" max="32" width="8.42578125" style="1" hidden="1" customWidth="1"/>
    <col min="33" max="34" width="10.7109375" style="1" hidden="1" customWidth="1"/>
    <col min="35" max="36" width="10.5703125" style="1" hidden="1" customWidth="1"/>
    <col min="37" max="37" width="10.140625" style="1" hidden="1" customWidth="1"/>
    <col min="38" max="38" width="10" style="1" hidden="1" customWidth="1"/>
    <col min="39" max="39" width="10.85546875" style="1" hidden="1" customWidth="1"/>
    <col min="40" max="40" width="10.7109375" style="1" hidden="1" customWidth="1"/>
    <col min="41" max="41" width="7.140625" style="1" hidden="1" customWidth="1"/>
    <col min="42" max="42" width="9" style="1" hidden="1" customWidth="1"/>
    <col min="43" max="43" width="9.140625" style="1" hidden="1" customWidth="1"/>
    <col min="44" max="44" width="9.7109375" style="1" hidden="1" customWidth="1"/>
    <col min="45" max="45" width="9" style="1" hidden="1" customWidth="1"/>
    <col min="46" max="46" width="5.85546875" style="1" hidden="1" customWidth="1"/>
    <col min="47" max="47" width="6.85546875" style="1" hidden="1" customWidth="1"/>
    <col min="48" max="48" width="10.28515625" style="1" customWidth="1"/>
    <col min="49" max="49" width="11.5703125" style="1" hidden="1" customWidth="1"/>
    <col min="50" max="50" width="9.140625" style="1" hidden="1" customWidth="1"/>
    <col min="51" max="52" width="9.42578125" style="1" hidden="1" customWidth="1"/>
    <col min="53" max="54" width="10.5703125" style="1" hidden="1" customWidth="1"/>
    <col min="55" max="56" width="10.42578125" style="1" hidden="1" customWidth="1"/>
    <col min="57" max="57" width="8.7109375" style="1" customWidth="1"/>
    <col min="58" max="58" width="0.140625" style="1" hidden="1" customWidth="1"/>
    <col min="59" max="59" width="10.42578125" style="1" hidden="1" customWidth="1"/>
    <col min="60" max="63" width="10.5703125" style="1" hidden="1" customWidth="1"/>
    <col min="64" max="64" width="10.28515625" style="1" hidden="1" customWidth="1"/>
    <col min="65" max="65" width="10.42578125" style="1" hidden="1" customWidth="1"/>
    <col min="66" max="66" width="10" style="1" customWidth="1"/>
    <col min="67" max="67" width="10.28515625" style="1" hidden="1" customWidth="1"/>
    <col min="68" max="68" width="10.42578125" style="1" hidden="1" customWidth="1"/>
    <col min="69" max="73" width="10.5703125" style="1" hidden="1" customWidth="1"/>
    <col min="74" max="74" width="6.85546875" style="1" customWidth="1"/>
    <col min="75" max="75" width="10.5703125" style="1" customWidth="1"/>
    <col min="76" max="76" width="8" style="1" customWidth="1"/>
    <col min="77" max="77" width="9.85546875" style="1" customWidth="1"/>
    <col min="78" max="78" width="7.140625" style="1" customWidth="1"/>
    <col min="79" max="79" width="10.42578125" style="1" customWidth="1"/>
    <col min="80" max="80" width="7.42578125" style="1" customWidth="1"/>
    <col min="81" max="81" width="7.5703125" style="1" customWidth="1"/>
    <col min="82" max="82" width="10.5703125" style="1" customWidth="1"/>
    <col min="83" max="83" width="6.42578125" style="1" customWidth="1"/>
    <col min="84" max="84" width="7.85546875" style="1" customWidth="1"/>
    <col min="85" max="85" width="10.5703125" style="1" customWidth="1"/>
    <col min="86" max="86" width="6.140625" style="1" customWidth="1"/>
    <col min="87" max="16384" width="9.140625" style="1"/>
  </cols>
  <sheetData>
    <row r="1" spans="1:86" ht="18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3"/>
      <c r="BA1" s="3"/>
      <c r="BB1" s="3"/>
      <c r="BC1" s="3"/>
      <c r="BD1" s="3"/>
      <c r="BE1" s="3"/>
      <c r="BF1" s="2"/>
      <c r="BG1" s="3"/>
      <c r="BJ1" s="3"/>
      <c r="BK1" s="3"/>
      <c r="BL1" s="3"/>
      <c r="BM1" s="3"/>
      <c r="BN1" s="3"/>
      <c r="BO1" s="2"/>
      <c r="BP1" s="3"/>
      <c r="BS1" s="3"/>
      <c r="CA1" s="3"/>
      <c r="CB1" s="3"/>
      <c r="CC1" s="3"/>
      <c r="CF1" s="1" t="s">
        <v>0</v>
      </c>
    </row>
    <row r="2" spans="1:86" s="4" customFormat="1" ht="21.7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 t="s">
        <v>1</v>
      </c>
      <c r="AW2" s="5"/>
      <c r="AX2" s="5"/>
      <c r="AY2" s="5"/>
      <c r="AZ2" s="5"/>
      <c r="BA2" s="5"/>
      <c r="BB2" s="5"/>
      <c r="BC2" s="5"/>
      <c r="BD2" s="5"/>
      <c r="BF2" s="5"/>
      <c r="BG2" s="5"/>
      <c r="BH2" s="5"/>
      <c r="BI2" s="5"/>
      <c r="BJ2" s="5"/>
      <c r="BK2" s="5"/>
      <c r="BM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</row>
    <row r="3" spans="1:86" s="4" customFormat="1" ht="6" customHeight="1" x14ac:dyDescent="0.25"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</row>
    <row r="4" spans="1:86" ht="17.25" customHeight="1" x14ac:dyDescent="0.25">
      <c r="A4" s="50" t="s">
        <v>2</v>
      </c>
      <c r="B4" s="50" t="s">
        <v>3</v>
      </c>
      <c r="C4" s="9" t="s">
        <v>4</v>
      </c>
      <c r="D4" s="10" t="s">
        <v>5</v>
      </c>
      <c r="E4" s="9" t="s">
        <v>6</v>
      </c>
      <c r="F4" s="9" t="s">
        <v>7</v>
      </c>
      <c r="G4" s="10" t="s">
        <v>8</v>
      </c>
      <c r="H4" s="9" t="s">
        <v>9</v>
      </c>
      <c r="I4" s="9" t="s">
        <v>10</v>
      </c>
      <c r="J4" s="10" t="s">
        <v>11</v>
      </c>
      <c r="K4" s="9" t="s">
        <v>12</v>
      </c>
      <c r="L4" s="9" t="s">
        <v>13</v>
      </c>
      <c r="M4" s="11" t="s">
        <v>14</v>
      </c>
      <c r="N4" s="12" t="s">
        <v>15</v>
      </c>
      <c r="O4" s="9" t="s">
        <v>16</v>
      </c>
      <c r="P4" s="11" t="s">
        <v>17</v>
      </c>
      <c r="Q4" s="11" t="s">
        <v>18</v>
      </c>
      <c r="R4" s="12" t="s">
        <v>19</v>
      </c>
      <c r="S4" s="9" t="s">
        <v>20</v>
      </c>
      <c r="T4" s="11" t="s">
        <v>21</v>
      </c>
      <c r="U4" s="11" t="s">
        <v>22</v>
      </c>
      <c r="V4" s="12" t="s">
        <v>23</v>
      </c>
      <c r="W4" s="9" t="s">
        <v>24</v>
      </c>
      <c r="X4" s="11" t="s">
        <v>25</v>
      </c>
      <c r="Y4" s="11" t="s">
        <v>26</v>
      </c>
      <c r="Z4" s="12" t="s">
        <v>27</v>
      </c>
      <c r="AA4" s="9" t="s">
        <v>28</v>
      </c>
      <c r="AB4" s="11" t="s">
        <v>29</v>
      </c>
      <c r="AC4" s="11" t="s">
        <v>30</v>
      </c>
      <c r="AD4" s="12" t="s">
        <v>31</v>
      </c>
      <c r="AE4" s="9" t="s">
        <v>32</v>
      </c>
      <c r="AF4" s="11" t="s">
        <v>33</v>
      </c>
      <c r="AG4" s="11" t="s">
        <v>34</v>
      </c>
      <c r="AH4" s="13" t="s">
        <v>35</v>
      </c>
      <c r="AI4" s="14"/>
      <c r="AJ4" s="15"/>
      <c r="AK4" s="9" t="s">
        <v>36</v>
      </c>
      <c r="AL4" s="54" t="s">
        <v>37</v>
      </c>
      <c r="AM4" s="11" t="s">
        <v>38</v>
      </c>
      <c r="AN4" s="9" t="s">
        <v>39</v>
      </c>
      <c r="AO4" s="9"/>
      <c r="AP4" s="9"/>
      <c r="AQ4" s="9" t="s">
        <v>40</v>
      </c>
      <c r="AR4" s="9" t="s">
        <v>41</v>
      </c>
      <c r="AS4" s="9" t="s">
        <v>42</v>
      </c>
      <c r="AT4" s="9" t="s">
        <v>43</v>
      </c>
      <c r="AU4" s="9" t="s">
        <v>44</v>
      </c>
      <c r="AV4" s="54" t="s">
        <v>45</v>
      </c>
      <c r="AW4" s="11" t="s">
        <v>46</v>
      </c>
      <c r="AX4" s="52" t="s">
        <v>47</v>
      </c>
      <c r="AY4" s="53"/>
      <c r="AZ4" s="56"/>
      <c r="BA4" s="9" t="s">
        <v>48</v>
      </c>
      <c r="BB4" s="9" t="s">
        <v>49</v>
      </c>
      <c r="BC4" s="9" t="s">
        <v>50</v>
      </c>
      <c r="BD4" s="9" t="s">
        <v>51</v>
      </c>
      <c r="BE4" s="54" t="s">
        <v>52</v>
      </c>
      <c r="BF4" s="54" t="s">
        <v>53</v>
      </c>
      <c r="BG4" s="52" t="s">
        <v>54</v>
      </c>
      <c r="BH4" s="53"/>
      <c r="BI4" s="56"/>
      <c r="BJ4" s="54" t="s">
        <v>55</v>
      </c>
      <c r="BK4" s="54" t="s">
        <v>56</v>
      </c>
      <c r="BL4" s="54" t="s">
        <v>57</v>
      </c>
      <c r="BM4" s="54" t="s">
        <v>58</v>
      </c>
      <c r="BN4" s="54" t="s">
        <v>59</v>
      </c>
      <c r="BO4" s="54" t="s">
        <v>60</v>
      </c>
      <c r="BP4" s="52" t="s">
        <v>61</v>
      </c>
      <c r="BQ4" s="53"/>
      <c r="BR4" s="53"/>
      <c r="BS4" s="11" t="s">
        <v>62</v>
      </c>
      <c r="BT4" s="11" t="s">
        <v>63</v>
      </c>
      <c r="BU4" s="11" t="s">
        <v>64</v>
      </c>
      <c r="BV4" s="54" t="s">
        <v>279</v>
      </c>
      <c r="BW4" s="54" t="s">
        <v>65</v>
      </c>
      <c r="BX4" s="54" t="s">
        <v>66</v>
      </c>
      <c r="BY4" s="54" t="s">
        <v>67</v>
      </c>
      <c r="BZ4" s="54" t="s">
        <v>278</v>
      </c>
      <c r="CA4" s="52" t="s">
        <v>68</v>
      </c>
      <c r="CB4" s="53"/>
      <c r="CC4" s="53"/>
      <c r="CD4" s="53"/>
      <c r="CE4" s="53"/>
      <c r="CF4" s="53"/>
      <c r="CG4" s="53"/>
      <c r="CH4" s="56"/>
    </row>
    <row r="5" spans="1:86" ht="33" customHeight="1" x14ac:dyDescent="0.25">
      <c r="A5" s="51"/>
      <c r="B5" s="51"/>
      <c r="C5" s="9"/>
      <c r="D5" s="9" t="s">
        <v>69</v>
      </c>
      <c r="E5" s="9" t="s">
        <v>70</v>
      </c>
      <c r="F5" s="9"/>
      <c r="G5" s="9" t="s">
        <v>69</v>
      </c>
      <c r="H5" s="9" t="s">
        <v>70</v>
      </c>
      <c r="I5" s="9"/>
      <c r="J5" s="9" t="s">
        <v>69</v>
      </c>
      <c r="K5" s="9" t="s">
        <v>70</v>
      </c>
      <c r="L5" s="9"/>
      <c r="M5" s="16"/>
      <c r="N5" s="9" t="s">
        <v>69</v>
      </c>
      <c r="O5" s="9" t="s">
        <v>70</v>
      </c>
      <c r="P5" s="16"/>
      <c r="Q5" s="16"/>
      <c r="R5" s="9" t="s">
        <v>69</v>
      </c>
      <c r="S5" s="9" t="s">
        <v>70</v>
      </c>
      <c r="T5" s="16"/>
      <c r="U5" s="16"/>
      <c r="V5" s="9" t="s">
        <v>69</v>
      </c>
      <c r="W5" s="9" t="s">
        <v>70</v>
      </c>
      <c r="X5" s="16"/>
      <c r="Y5" s="16"/>
      <c r="Z5" s="9" t="s">
        <v>69</v>
      </c>
      <c r="AA5" s="9" t="s">
        <v>70</v>
      </c>
      <c r="AB5" s="16"/>
      <c r="AC5" s="16"/>
      <c r="AD5" s="9" t="s">
        <v>69</v>
      </c>
      <c r="AE5" s="9" t="s">
        <v>70</v>
      </c>
      <c r="AF5" s="16"/>
      <c r="AG5" s="16"/>
      <c r="AH5" s="9" t="s">
        <v>71</v>
      </c>
      <c r="AI5" s="9" t="s">
        <v>72</v>
      </c>
      <c r="AJ5" s="9" t="s">
        <v>73</v>
      </c>
      <c r="AK5" s="9" t="s">
        <v>74</v>
      </c>
      <c r="AL5" s="55"/>
      <c r="AM5" s="16"/>
      <c r="AN5" s="9" t="s">
        <v>75</v>
      </c>
      <c r="AO5" s="9" t="s">
        <v>76</v>
      </c>
      <c r="AP5" s="9" t="s">
        <v>77</v>
      </c>
      <c r="AQ5" s="9" t="s">
        <v>75</v>
      </c>
      <c r="AR5" s="9" t="s">
        <v>75</v>
      </c>
      <c r="AS5" s="9">
        <v>2021</v>
      </c>
      <c r="AT5" s="9" t="s">
        <v>75</v>
      </c>
      <c r="AU5" s="16" t="s">
        <v>75</v>
      </c>
      <c r="AV5" s="55"/>
      <c r="AW5" s="16"/>
      <c r="AX5" s="9" t="s">
        <v>76</v>
      </c>
      <c r="AY5" s="9" t="s">
        <v>77</v>
      </c>
      <c r="AZ5" s="9" t="s">
        <v>78</v>
      </c>
      <c r="BA5" s="9" t="s">
        <v>76</v>
      </c>
      <c r="BB5" s="9" t="s">
        <v>76</v>
      </c>
      <c r="BC5" s="9" t="s">
        <v>76</v>
      </c>
      <c r="BD5" s="9" t="s">
        <v>76</v>
      </c>
      <c r="BE5" s="55"/>
      <c r="BF5" s="55"/>
      <c r="BG5" s="9">
        <v>2023</v>
      </c>
      <c r="BH5" s="16" t="s">
        <v>78</v>
      </c>
      <c r="BI5" s="16" t="s">
        <v>79</v>
      </c>
      <c r="BJ5" s="55"/>
      <c r="BK5" s="55"/>
      <c r="BL5" s="55" t="s">
        <v>77</v>
      </c>
      <c r="BM5" s="55"/>
      <c r="BN5" s="55"/>
      <c r="BO5" s="55"/>
      <c r="BP5" s="9" t="s">
        <v>78</v>
      </c>
      <c r="BQ5" s="16" t="s">
        <v>79</v>
      </c>
      <c r="BR5" s="16" t="s">
        <v>80</v>
      </c>
      <c r="BS5" s="16" t="s">
        <v>78</v>
      </c>
      <c r="BT5" s="16" t="s">
        <v>78</v>
      </c>
      <c r="BU5" s="16" t="s">
        <v>78</v>
      </c>
      <c r="BV5" s="55"/>
      <c r="BW5" s="55"/>
      <c r="BX5" s="55"/>
      <c r="BY5" s="55"/>
      <c r="BZ5" s="55"/>
      <c r="CA5" s="9" t="s">
        <v>79</v>
      </c>
      <c r="CB5" s="16" t="s">
        <v>81</v>
      </c>
      <c r="CC5" s="16" t="s">
        <v>82</v>
      </c>
      <c r="CD5" s="16" t="s">
        <v>80</v>
      </c>
      <c r="CE5" s="16" t="s">
        <v>83</v>
      </c>
      <c r="CF5" s="16" t="s">
        <v>82</v>
      </c>
      <c r="CG5" s="16" t="s">
        <v>84</v>
      </c>
      <c r="CH5" s="16" t="s">
        <v>85</v>
      </c>
    </row>
    <row r="6" spans="1:86" ht="22.5" customHeight="1" x14ac:dyDescent="0.25">
      <c r="A6" s="17" t="s">
        <v>86</v>
      </c>
      <c r="B6" s="18" t="s">
        <v>87</v>
      </c>
      <c r="C6" s="19">
        <f t="shared" ref="C6:U6" si="0">C9+C21+C38+C33+C49+C45+C54+C64+C20</f>
        <v>16140.906929999997</v>
      </c>
      <c r="D6" s="19">
        <f t="shared" si="0"/>
        <v>13373</v>
      </c>
      <c r="E6" s="19">
        <f t="shared" si="0"/>
        <v>14647.999999999998</v>
      </c>
      <c r="F6" s="19">
        <f t="shared" si="0"/>
        <v>13763.941449999998</v>
      </c>
      <c r="G6" s="19">
        <f t="shared" si="0"/>
        <v>15260.5</v>
      </c>
      <c r="H6" s="19">
        <f t="shared" si="0"/>
        <v>15260.5</v>
      </c>
      <c r="I6" s="19">
        <f t="shared" si="0"/>
        <v>14448.493809999998</v>
      </c>
      <c r="J6" s="19">
        <f t="shared" si="0"/>
        <v>14576.5</v>
      </c>
      <c r="K6" s="19">
        <f t="shared" si="0"/>
        <v>14576.5</v>
      </c>
      <c r="L6" s="19">
        <f t="shared" si="0"/>
        <v>13989.008970000001</v>
      </c>
      <c r="M6" s="19">
        <f t="shared" si="0"/>
        <v>13980.341</v>
      </c>
      <c r="N6" s="19">
        <f t="shared" si="0"/>
        <v>15159.000000000002</v>
      </c>
      <c r="O6" s="19">
        <f t="shared" si="0"/>
        <v>14260.000000000002</v>
      </c>
      <c r="P6" s="19">
        <f t="shared" si="0"/>
        <v>13170.845810000001</v>
      </c>
      <c r="Q6" s="19">
        <f t="shared" si="0"/>
        <v>-30730.023000000001</v>
      </c>
      <c r="R6" s="19">
        <f t="shared" si="0"/>
        <v>13650</v>
      </c>
      <c r="S6" s="19">
        <f t="shared" si="0"/>
        <v>15389.800000000003</v>
      </c>
      <c r="T6" s="19">
        <f t="shared" si="0"/>
        <v>15451.032220000003</v>
      </c>
      <c r="U6" s="19">
        <f t="shared" si="0"/>
        <v>6904.7130200000001</v>
      </c>
      <c r="V6" s="19">
        <f t="shared" ref="V6:AV6" si="1">V9+V21+V38+V33+V49+V45+V54+V64+V20+V15</f>
        <v>18757.00201</v>
      </c>
      <c r="W6" s="19">
        <f t="shared" si="1"/>
        <v>19092.8</v>
      </c>
      <c r="X6" s="19">
        <f t="shared" si="1"/>
        <v>19252.400850000002</v>
      </c>
      <c r="Y6" s="19">
        <f t="shared" si="1"/>
        <v>19213.899510000003</v>
      </c>
      <c r="Z6" s="19">
        <f t="shared" si="1"/>
        <v>18388.702010000001</v>
      </c>
      <c r="AA6" s="19">
        <f t="shared" si="1"/>
        <v>20530.299999999996</v>
      </c>
      <c r="AB6" s="19">
        <f t="shared" si="1"/>
        <v>21906.476149999999</v>
      </c>
      <c r="AC6" s="19">
        <f t="shared" si="1"/>
        <v>24106.204109999995</v>
      </c>
      <c r="AD6" s="19">
        <f t="shared" si="1"/>
        <v>20058.202010000001</v>
      </c>
      <c r="AE6" s="19">
        <f t="shared" si="1"/>
        <v>22064.3</v>
      </c>
      <c r="AF6" s="19">
        <f t="shared" si="1"/>
        <v>22574.922399999996</v>
      </c>
      <c r="AG6" s="19">
        <f t="shared" si="1"/>
        <v>-9423.7916100000002</v>
      </c>
      <c r="AH6" s="19">
        <f t="shared" si="1"/>
        <v>21387.702010000001</v>
      </c>
      <c r="AI6" s="19">
        <f t="shared" si="1"/>
        <v>21279.802009999999</v>
      </c>
      <c r="AJ6" s="19">
        <f t="shared" si="1"/>
        <v>21315.802009999999</v>
      </c>
      <c r="AK6" s="19">
        <f t="shared" si="1"/>
        <v>22569.599999999999</v>
      </c>
      <c r="AL6" s="19">
        <f t="shared" si="1"/>
        <v>22645.173790000001</v>
      </c>
      <c r="AM6" s="19">
        <f t="shared" si="1"/>
        <v>102171.19170999998</v>
      </c>
      <c r="AN6" s="19">
        <f t="shared" si="1"/>
        <v>22876.902010000002</v>
      </c>
      <c r="AO6" s="19">
        <f t="shared" si="1"/>
        <v>22882.902010000002</v>
      </c>
      <c r="AP6" s="19">
        <f t="shared" si="1"/>
        <v>22888.902010000002</v>
      </c>
      <c r="AQ6" s="19">
        <f t="shared" si="1"/>
        <v>23425.4</v>
      </c>
      <c r="AR6" s="19">
        <f t="shared" si="1"/>
        <v>23557</v>
      </c>
      <c r="AS6" s="19">
        <f t="shared" si="1"/>
        <v>24317.599999999999</v>
      </c>
      <c r="AT6" s="19">
        <f t="shared" si="1"/>
        <v>24979.200000000004</v>
      </c>
      <c r="AU6" s="19">
        <f t="shared" si="1"/>
        <v>25993.500000000004</v>
      </c>
      <c r="AV6" s="19">
        <f t="shared" si="1"/>
        <v>27404.584459999998</v>
      </c>
      <c r="AW6" s="19">
        <f>AW9+AW21+AW38+AW33+AW49+AW45+AW54+AW64+AW20+AW15+AW24+AW32</f>
        <v>19186.837650000001</v>
      </c>
      <c r="AX6" s="19">
        <f t="shared" ref="AX6:BE6" si="2">AX9+AX21+AX38+AX33+AX49+AX45+AX54+AX64+AX20+AX15</f>
        <v>24879.802009999999</v>
      </c>
      <c r="AY6" s="19">
        <f t="shared" si="2"/>
        <v>25334.202010000001</v>
      </c>
      <c r="AZ6" s="19">
        <f t="shared" si="2"/>
        <v>25394.202010000001</v>
      </c>
      <c r="BA6" s="19">
        <f t="shared" si="2"/>
        <v>25996.5</v>
      </c>
      <c r="BB6" s="19">
        <f t="shared" si="2"/>
        <v>27014.6</v>
      </c>
      <c r="BC6" s="19">
        <f t="shared" si="2"/>
        <v>29163.299999999996</v>
      </c>
      <c r="BD6" s="19">
        <f t="shared" si="2"/>
        <v>30611.4</v>
      </c>
      <c r="BE6" s="19">
        <f t="shared" si="2"/>
        <v>31637.545190000004</v>
      </c>
      <c r="BF6" s="19">
        <f>BF9+BF21+BF38+BF33+BF49+BF45+BF54+BF64+BF20+BF15+BF24+BF32+BF44+BF50</f>
        <v>5662.0245500000055</v>
      </c>
      <c r="BG6" s="19">
        <f t="shared" ref="BG6:BN6" si="3">BG9+BG21+BG38+BG33+BG49+BG45+BG54+BG64+BG20+BG15</f>
        <v>27003.50201</v>
      </c>
      <c r="BH6" s="19">
        <f t="shared" si="3"/>
        <v>27454.402009999998</v>
      </c>
      <c r="BI6" s="19">
        <f t="shared" si="3"/>
        <v>27730.202010000001</v>
      </c>
      <c r="BJ6" s="20">
        <f t="shared" si="3"/>
        <v>27512.100000000002</v>
      </c>
      <c r="BK6" s="21">
        <f t="shared" si="3"/>
        <v>28017.800000000003</v>
      </c>
      <c r="BL6" s="19">
        <f t="shared" si="3"/>
        <v>31835.3</v>
      </c>
      <c r="BM6" s="19">
        <f t="shared" si="3"/>
        <v>33508.602010000002</v>
      </c>
      <c r="BN6" s="19">
        <f t="shared" si="3"/>
        <v>34435.142929999995</v>
      </c>
      <c r="BO6" s="19">
        <f>BO9+BO21+BO38+BO33+BO49+BO45+BO54+BO64+BO20+BO15+BO24+BO32+BO44</f>
        <v>27508.822709999997</v>
      </c>
      <c r="BP6" s="19">
        <f t="shared" ref="BP6:BW6" si="4">BP9+BP21+BP38+BP33+BP49+BP45+BP54+BP64+BP20+BP15</f>
        <v>32190.702010000001</v>
      </c>
      <c r="BQ6" s="19">
        <f t="shared" si="4"/>
        <v>32968.602010000002</v>
      </c>
      <c r="BR6" s="19">
        <f t="shared" si="4"/>
        <v>33527.702010000001</v>
      </c>
      <c r="BS6" s="22">
        <f t="shared" si="4"/>
        <v>32190.699999999997</v>
      </c>
      <c r="BT6" s="19">
        <f t="shared" si="4"/>
        <v>32496.299999999996</v>
      </c>
      <c r="BU6" s="19">
        <f t="shared" si="4"/>
        <v>33884.299999999996</v>
      </c>
      <c r="BV6" s="23">
        <f>BN6/BE6*100</f>
        <v>108.84265110709113</v>
      </c>
      <c r="BW6" s="19">
        <f t="shared" si="4"/>
        <v>24578.6</v>
      </c>
      <c r="BX6" s="23">
        <f>BW6/BY6*100</f>
        <v>69.284870626108187</v>
      </c>
      <c r="BY6" s="19">
        <f>BY9+BY21+BY38+BY33+BY49+BY45+BY54+BY64+BY20+BY15</f>
        <v>35474.699999999997</v>
      </c>
      <c r="BZ6" s="23">
        <f>BY6/BN6*100</f>
        <v>103.01888414435574</v>
      </c>
      <c r="CA6" s="19">
        <f>CA9+CA21+CA38+CA33+CA49+CA45+CA54+CA64+CA20+CA15</f>
        <v>33588.102010000002</v>
      </c>
      <c r="CB6" s="23">
        <f>CA6/BY6*100</f>
        <v>94.681849346153754</v>
      </c>
      <c r="CC6" s="23">
        <f>CA6/BQ6*100</f>
        <v>101.87906056742138</v>
      </c>
      <c r="CD6" s="19">
        <f>CD9+CD21+CD38+CD33+CD49+CD45+CD54+CD64+CD20+CD15</f>
        <v>34008.702010000001</v>
      </c>
      <c r="CE6" s="23">
        <f>CD6/CA6*100</f>
        <v>101.252229137195</v>
      </c>
      <c r="CF6" s="23">
        <f>CD6/BR6*100</f>
        <v>101.43463455937582</v>
      </c>
      <c r="CG6" s="19">
        <f>CG9+CG21+CG38+CG33+CG49+CG45+CG54+CG64+CG20+CG15</f>
        <v>35847.202010000001</v>
      </c>
      <c r="CH6" s="23">
        <f>CG6/CD6*100</f>
        <v>105.40596932943633</v>
      </c>
    </row>
    <row r="7" spans="1:86" s="24" customFormat="1" ht="18" customHeight="1" x14ac:dyDescent="0.25">
      <c r="A7" s="17"/>
      <c r="B7" s="18" t="s">
        <v>88</v>
      </c>
      <c r="C7" s="19">
        <f t="shared" ref="C7:U7" si="5">C9+C21+C33+C20</f>
        <v>11860.579899999999</v>
      </c>
      <c r="D7" s="19">
        <f t="shared" si="5"/>
        <v>11515</v>
      </c>
      <c r="E7" s="19">
        <f t="shared" si="5"/>
        <v>13246.999999999998</v>
      </c>
      <c r="F7" s="19">
        <f t="shared" si="5"/>
        <v>12462.593279999999</v>
      </c>
      <c r="G7" s="19">
        <f t="shared" si="5"/>
        <v>14150.5</v>
      </c>
      <c r="H7" s="19">
        <f t="shared" si="5"/>
        <v>14225.8</v>
      </c>
      <c r="I7" s="19">
        <f t="shared" si="5"/>
        <v>13489.69479</v>
      </c>
      <c r="J7" s="19">
        <f t="shared" si="5"/>
        <v>13635</v>
      </c>
      <c r="K7" s="19">
        <f t="shared" si="5"/>
        <v>13348</v>
      </c>
      <c r="L7" s="19">
        <f t="shared" si="5"/>
        <v>12802.795040000001</v>
      </c>
      <c r="M7" s="19">
        <f t="shared" si="5"/>
        <v>12794.12707</v>
      </c>
      <c r="N7" s="19">
        <f t="shared" si="5"/>
        <v>13790.400000000001</v>
      </c>
      <c r="O7" s="19">
        <f t="shared" si="5"/>
        <v>13790.400000000001</v>
      </c>
      <c r="P7" s="19">
        <f t="shared" si="5"/>
        <v>12953.173269999999</v>
      </c>
      <c r="Q7" s="19">
        <f t="shared" si="5"/>
        <v>12953.173269999999</v>
      </c>
      <c r="R7" s="19">
        <f t="shared" si="5"/>
        <v>13505</v>
      </c>
      <c r="S7" s="19">
        <f t="shared" si="5"/>
        <v>14713.300000000003</v>
      </c>
      <c r="T7" s="19">
        <f t="shared" si="5"/>
        <v>14774.520500000001</v>
      </c>
      <c r="U7" s="19">
        <f t="shared" si="5"/>
        <v>14774.520499999999</v>
      </c>
      <c r="V7" s="19">
        <f t="shared" ref="V7:BP7" si="6">V9+V21+V33+V20+V15</f>
        <v>18601.00201</v>
      </c>
      <c r="W7" s="19">
        <f t="shared" si="6"/>
        <v>18735</v>
      </c>
      <c r="X7" s="19">
        <f t="shared" si="6"/>
        <v>18865.061850000002</v>
      </c>
      <c r="Y7" s="19">
        <f t="shared" si="6"/>
        <v>18856.844500000003</v>
      </c>
      <c r="Z7" s="19">
        <f t="shared" si="6"/>
        <v>18228.702010000001</v>
      </c>
      <c r="AA7" s="19">
        <f t="shared" si="6"/>
        <v>19445.899999999998</v>
      </c>
      <c r="AB7" s="19">
        <f t="shared" si="6"/>
        <v>20764.875219999998</v>
      </c>
      <c r="AC7" s="19">
        <f t="shared" si="6"/>
        <v>20874.892319999995</v>
      </c>
      <c r="AD7" s="19">
        <f t="shared" si="6"/>
        <v>19891.402010000002</v>
      </c>
      <c r="AE7" s="19">
        <f t="shared" si="6"/>
        <v>20881.400000000001</v>
      </c>
      <c r="AF7" s="19">
        <f t="shared" si="6"/>
        <v>21343.609350000002</v>
      </c>
      <c r="AG7" s="19">
        <f t="shared" si="6"/>
        <v>21537.677310000003</v>
      </c>
      <c r="AH7" s="19">
        <f t="shared" si="6"/>
        <v>20533.702010000001</v>
      </c>
      <c r="AI7" s="19">
        <f t="shared" si="6"/>
        <v>21120.302009999999</v>
      </c>
      <c r="AJ7" s="19">
        <f t="shared" si="6"/>
        <v>21156.302009999999</v>
      </c>
      <c r="AK7" s="19">
        <f t="shared" si="6"/>
        <v>20107.099999999999</v>
      </c>
      <c r="AL7" s="19">
        <f t="shared" si="6"/>
        <v>20810.85872</v>
      </c>
      <c r="AM7" s="19">
        <f t="shared" si="6"/>
        <v>21172.422160000002</v>
      </c>
      <c r="AN7" s="19">
        <f t="shared" si="6"/>
        <v>22620.602010000002</v>
      </c>
      <c r="AO7" s="19">
        <f t="shared" si="6"/>
        <v>22623.602010000002</v>
      </c>
      <c r="AP7" s="19">
        <f t="shared" si="6"/>
        <v>22626.602010000002</v>
      </c>
      <c r="AQ7" s="19">
        <f t="shared" si="6"/>
        <v>22620.6</v>
      </c>
      <c r="AR7" s="19">
        <f t="shared" si="6"/>
        <v>22713.200000000001</v>
      </c>
      <c r="AS7" s="19">
        <f t="shared" si="6"/>
        <v>23073.800000000003</v>
      </c>
      <c r="AT7" s="19">
        <f t="shared" si="6"/>
        <v>23125.4</v>
      </c>
      <c r="AU7" s="19">
        <f t="shared" si="6"/>
        <v>24201.000000000004</v>
      </c>
      <c r="AV7" s="19">
        <f t="shared" si="6"/>
        <v>25411.561829999999</v>
      </c>
      <c r="AW7" s="19">
        <f t="shared" si="6"/>
        <v>25288.276830000003</v>
      </c>
      <c r="AX7" s="19">
        <f t="shared" si="6"/>
        <v>24073.902009999998</v>
      </c>
      <c r="AY7" s="19">
        <f t="shared" si="6"/>
        <v>24528.302009999999</v>
      </c>
      <c r="AZ7" s="19">
        <f t="shared" si="6"/>
        <v>24588.302009999999</v>
      </c>
      <c r="BA7" s="19">
        <f t="shared" si="6"/>
        <v>24690.6</v>
      </c>
      <c r="BB7" s="19">
        <f t="shared" si="6"/>
        <v>24690.6</v>
      </c>
      <c r="BC7" s="19">
        <f t="shared" si="6"/>
        <v>26539.199999999997</v>
      </c>
      <c r="BD7" s="19">
        <f t="shared" si="6"/>
        <v>28052.6</v>
      </c>
      <c r="BE7" s="19">
        <f t="shared" si="6"/>
        <v>29556.107889999999</v>
      </c>
      <c r="BF7" s="19">
        <f t="shared" si="6"/>
        <v>29654.370139999999</v>
      </c>
      <c r="BG7" s="19">
        <f t="shared" si="6"/>
        <v>25313.402010000002</v>
      </c>
      <c r="BH7" s="19">
        <f t="shared" si="6"/>
        <v>25667.102009999999</v>
      </c>
      <c r="BI7" s="19">
        <f t="shared" si="6"/>
        <v>25930.702010000001</v>
      </c>
      <c r="BJ7" s="20">
        <f t="shared" si="6"/>
        <v>25313.4</v>
      </c>
      <c r="BK7" s="21">
        <f t="shared" si="6"/>
        <v>25313.4</v>
      </c>
      <c r="BL7" s="19">
        <f t="shared" si="6"/>
        <v>29091.499999999996</v>
      </c>
      <c r="BM7" s="19">
        <f t="shared" si="6"/>
        <v>30773.00201</v>
      </c>
      <c r="BN7" s="19">
        <f t="shared" si="6"/>
        <v>31555.816070000001</v>
      </c>
      <c r="BO7" s="19">
        <f>BO9+BO21+BO33+BO20+BO15</f>
        <v>32136.48934</v>
      </c>
      <c r="BP7" s="19">
        <f t="shared" si="6"/>
        <v>30090.602010000002</v>
      </c>
      <c r="BQ7" s="19">
        <f>BQ9+BQ21+BQ33+BQ20+BQ15</f>
        <v>30844.102010000002</v>
      </c>
      <c r="BR7" s="19">
        <f>BR9+BR21+BR33+BR20+BR15</f>
        <v>31393.202010000001</v>
      </c>
      <c r="BS7" s="22">
        <f>BS9+BS21+BS33+BS20+BS15</f>
        <v>30090.6</v>
      </c>
      <c r="BT7" s="19">
        <f>BT9+BT21+BT33+BT20+BT15</f>
        <v>30107.599999999999</v>
      </c>
      <c r="BU7" s="19">
        <f>BU9+BU21+BU33+BU20+BU15</f>
        <v>30320.6</v>
      </c>
      <c r="BV7" s="23">
        <f t="shared" ref="BV7:BV70" si="7">BN7/BE7*100</f>
        <v>106.76580349294429</v>
      </c>
      <c r="BW7" s="19">
        <f>BW9+BW21+BW33+BW20+BW15</f>
        <v>22838.1</v>
      </c>
      <c r="BX7" s="23">
        <f t="shared" ref="BX7:BX70" si="8">BW7/BY7*100</f>
        <v>70.437526215796083</v>
      </c>
      <c r="BY7" s="19">
        <f>BY9+BY21+BY33+BY20+BY15</f>
        <v>32423.200000000001</v>
      </c>
      <c r="BZ7" s="23">
        <f>BY7/BN7*100</f>
        <v>102.74872919805303</v>
      </c>
      <c r="CA7" s="19">
        <f t="shared" ref="CA7" si="9">CA9+CA21+CA33+CA20+CA15</f>
        <v>31288.202010000001</v>
      </c>
      <c r="CB7" s="23">
        <f t="shared" ref="CB7:CB70" si="10">CA7/BY7*100</f>
        <v>96.4994263675393</v>
      </c>
      <c r="CC7" s="23">
        <f>CA7/BQ7*100</f>
        <v>101.4398214603752</v>
      </c>
      <c r="CD7" s="19">
        <f>CD9+CD21+CD33+CD20+CD15</f>
        <v>31653.902009999998</v>
      </c>
      <c r="CE7" s="23">
        <f t="shared" ref="CE7:CE70" si="11">CD7/CA7*100</f>
        <v>101.16881117004779</v>
      </c>
      <c r="CF7" s="23">
        <f>CD7/BR7*100</f>
        <v>100.83043456324383</v>
      </c>
      <c r="CG7" s="19">
        <f>CG9+CG21+CG33+CG20+CG15</f>
        <v>33447.002010000004</v>
      </c>
      <c r="CH7" s="23">
        <f t="shared" ref="CH7:CH12" si="12">CG7/CD7*100</f>
        <v>105.66470446339771</v>
      </c>
    </row>
    <row r="8" spans="1:86" s="24" customFormat="1" ht="22.5" customHeight="1" x14ac:dyDescent="0.25">
      <c r="A8" s="17"/>
      <c r="B8" s="18" t="s">
        <v>89</v>
      </c>
      <c r="C8" s="19">
        <f t="shared" ref="C8:BN8" si="13">C7/C126*100</f>
        <v>24.939177282591523</v>
      </c>
      <c r="D8" s="19">
        <f t="shared" si="13"/>
        <v>29.465501182202473</v>
      </c>
      <c r="E8" s="19">
        <f t="shared" si="13"/>
        <v>20.245352830329971</v>
      </c>
      <c r="F8" s="19">
        <f t="shared" si="13"/>
        <v>20.326166202182382</v>
      </c>
      <c r="G8" s="19">
        <f t="shared" si="13"/>
        <v>32.826531251377389</v>
      </c>
      <c r="H8" s="19">
        <f t="shared" si="13"/>
        <v>26.772332233016282</v>
      </c>
      <c r="I8" s="19">
        <f t="shared" si="13"/>
        <v>25.781995452516153</v>
      </c>
      <c r="J8" s="19">
        <f t="shared" si="13"/>
        <v>31.399397573714317</v>
      </c>
      <c r="K8" s="19">
        <f t="shared" si="13"/>
        <v>26.246141140845904</v>
      </c>
      <c r="L8" s="19">
        <f t="shared" si="13"/>
        <v>25.474646479096819</v>
      </c>
      <c r="M8" s="19">
        <f t="shared" si="13"/>
        <v>8.1822621397524475</v>
      </c>
      <c r="N8" s="19">
        <f t="shared" si="13"/>
        <v>31.136388780387581</v>
      </c>
      <c r="O8" s="19">
        <f t="shared" si="13"/>
        <v>24.274214983392273</v>
      </c>
      <c r="P8" s="19">
        <f t="shared" si="13"/>
        <v>23.410612869551883</v>
      </c>
      <c r="Q8" s="19">
        <f t="shared" si="13"/>
        <v>7.9227147577208186</v>
      </c>
      <c r="R8" s="19">
        <f t="shared" si="13"/>
        <v>24.588343249994537</v>
      </c>
      <c r="S8" s="19">
        <f t="shared" si="13"/>
        <v>24.856066493225669</v>
      </c>
      <c r="T8" s="19">
        <f t="shared" si="13"/>
        <v>24.933728046028687</v>
      </c>
      <c r="U8" s="19">
        <f t="shared" si="13"/>
        <v>11.795901200205297</v>
      </c>
      <c r="V8" s="19">
        <f t="shared" si="13"/>
        <v>38.430788506798685</v>
      </c>
      <c r="W8" s="19">
        <f t="shared" si="13"/>
        <v>24.72350190886285</v>
      </c>
      <c r="X8" s="19">
        <f t="shared" si="13"/>
        <v>24.870448390332978</v>
      </c>
      <c r="Y8" s="19">
        <f t="shared" si="13"/>
        <v>8.7591774172462387</v>
      </c>
      <c r="Z8" s="19">
        <f t="shared" si="13"/>
        <v>38.475276842579817</v>
      </c>
      <c r="AA8" s="19">
        <f t="shared" si="13"/>
        <v>33.504053380711788</v>
      </c>
      <c r="AB8" s="19">
        <f t="shared" si="13"/>
        <v>34.947920567624813</v>
      </c>
      <c r="AC8" s="19">
        <f t="shared" si="13"/>
        <v>8.8962655884820929</v>
      </c>
      <c r="AD8" s="19">
        <f t="shared" si="13"/>
        <v>40.063971360435893</v>
      </c>
      <c r="AE8" s="19">
        <f t="shared" si="13"/>
        <v>34.171750628403856</v>
      </c>
      <c r="AF8" s="19">
        <f t="shared" si="13"/>
        <v>34.638663982725888</v>
      </c>
      <c r="AG8" s="19">
        <f t="shared" si="13"/>
        <v>24.132105243444173</v>
      </c>
      <c r="AH8" s="19">
        <f t="shared" si="13"/>
        <v>37.877090886179793</v>
      </c>
      <c r="AI8" s="19">
        <f t="shared" si="13"/>
        <v>39.622505738029247</v>
      </c>
      <c r="AJ8" s="19">
        <f t="shared" si="13"/>
        <v>39.680291263044445</v>
      </c>
      <c r="AK8" s="19">
        <f t="shared" si="13"/>
        <v>19.926585065888119</v>
      </c>
      <c r="AL8" s="19">
        <f t="shared" si="13"/>
        <v>20.608588231338274</v>
      </c>
      <c r="AM8" s="19">
        <f t="shared" si="13"/>
        <v>7.9034501964687029</v>
      </c>
      <c r="AN8" s="19">
        <f t="shared" si="13"/>
        <v>43.528780062484891</v>
      </c>
      <c r="AO8" s="19">
        <f t="shared" si="13"/>
        <v>43.52952712957979</v>
      </c>
      <c r="AP8" s="19">
        <f t="shared" si="13"/>
        <v>43.53027402420495</v>
      </c>
      <c r="AQ8" s="19">
        <f t="shared" si="13"/>
        <v>33.891890434110337</v>
      </c>
      <c r="AR8" s="19">
        <f t="shared" si="13"/>
        <v>31.989160990834165</v>
      </c>
      <c r="AS8" s="19">
        <f t="shared" si="13"/>
        <v>35.105992900841528</v>
      </c>
      <c r="AT8" s="19">
        <f t="shared" si="13"/>
        <v>33.509050547437852</v>
      </c>
      <c r="AU8" s="19">
        <f t="shared" si="13"/>
        <v>31.737476345410126</v>
      </c>
      <c r="AV8" s="19">
        <f t="shared" si="13"/>
        <v>32.799415545536768</v>
      </c>
      <c r="AW8" s="19">
        <f t="shared" si="13"/>
        <v>23.568074818744684</v>
      </c>
      <c r="AX8" s="19">
        <f t="shared" si="13"/>
        <v>36.317900269451449</v>
      </c>
      <c r="AY8" s="19">
        <f t="shared" si="13"/>
        <v>48.150978481058907</v>
      </c>
      <c r="AZ8" s="19">
        <f t="shared" si="13"/>
        <v>48.2533229979732</v>
      </c>
      <c r="BA8" s="19">
        <f t="shared" si="13"/>
        <v>34.676542710518994</v>
      </c>
      <c r="BB8" s="19">
        <f t="shared" si="13"/>
        <v>31.743946104743475</v>
      </c>
      <c r="BC8" s="19">
        <f t="shared" si="13"/>
        <v>39.48515988698631</v>
      </c>
      <c r="BD8" s="19">
        <f t="shared" si="13"/>
        <v>30.25132694501778</v>
      </c>
      <c r="BE8" s="19">
        <f t="shared" si="13"/>
        <v>31.52535711510669</v>
      </c>
      <c r="BF8" s="19">
        <f t="shared" si="13"/>
        <v>22.460579850255321</v>
      </c>
      <c r="BG8" s="19">
        <f t="shared" si="13"/>
        <v>38.902517378619869</v>
      </c>
      <c r="BH8" s="19">
        <f t="shared" si="13"/>
        <v>44.606165128213462</v>
      </c>
      <c r="BI8" s="19">
        <f t="shared" si="13"/>
        <v>45.045402217965588</v>
      </c>
      <c r="BJ8" s="20">
        <f t="shared" si="13"/>
        <v>37.578494508724582</v>
      </c>
      <c r="BK8" s="21">
        <f t="shared" si="13"/>
        <v>28.922989031078611</v>
      </c>
      <c r="BL8" s="19">
        <f t="shared" si="13"/>
        <v>28.042405565393075</v>
      </c>
      <c r="BM8" s="19">
        <f t="shared" si="13"/>
        <v>30.082105684102885</v>
      </c>
      <c r="BN8" s="19">
        <f t="shared" si="13"/>
        <v>29.674200000973084</v>
      </c>
      <c r="BO8" s="19">
        <f t="shared" ref="BO8:BP8" si="14">BO7/BO126*100</f>
        <v>28.186544189076447</v>
      </c>
      <c r="BP8" s="19">
        <f t="shared" si="14"/>
        <v>41.650830955289997</v>
      </c>
      <c r="BQ8" s="19">
        <f>BQ7/BQ126*100</f>
        <v>49.649171596935247</v>
      </c>
      <c r="BR8" s="19">
        <f>BR7/BR126*100</f>
        <v>50.471708814073814</v>
      </c>
      <c r="BS8" s="22">
        <f>BS7/BS126*100</f>
        <v>41.132045037939427</v>
      </c>
      <c r="BT8" s="19">
        <f>BT7/BT126*100</f>
        <v>29.301714934165645</v>
      </c>
      <c r="BU8" s="19">
        <f>BU7/BU126*100</f>
        <v>28.967111705557809</v>
      </c>
      <c r="BV8" s="23"/>
      <c r="BW8" s="19">
        <f>BW7/BW126*100</f>
        <v>35.678677716937067</v>
      </c>
      <c r="BX8" s="23"/>
      <c r="BY8" s="19">
        <f>BY7/BY126*100</f>
        <v>30.512248395253661</v>
      </c>
      <c r="BZ8" s="23"/>
      <c r="CA8" s="19">
        <f t="shared" ref="CA8" si="15">CA7/CA126*100</f>
        <v>44.55942326388498</v>
      </c>
      <c r="CB8" s="23"/>
      <c r="CC8" s="23"/>
      <c r="CD8" s="19">
        <f>CD7/CD126*100</f>
        <v>46.122139516403749</v>
      </c>
      <c r="CE8" s="23"/>
      <c r="CF8" s="23"/>
      <c r="CG8" s="19">
        <f>CG7/CG126*100</f>
        <v>47.681707188961511</v>
      </c>
      <c r="CH8" s="23"/>
    </row>
    <row r="9" spans="1:86" ht="22.5" customHeight="1" x14ac:dyDescent="0.25">
      <c r="A9" s="17" t="s">
        <v>90</v>
      </c>
      <c r="B9" s="18" t="s">
        <v>91</v>
      </c>
      <c r="C9" s="19">
        <f>C10+C12+C11</f>
        <v>11474.610049999999</v>
      </c>
      <c r="D9" s="19">
        <f>D10+D12+D11</f>
        <v>10703</v>
      </c>
      <c r="E9" s="19">
        <f>E10+E12+E11+E14</f>
        <v>12408.699999999999</v>
      </c>
      <c r="F9" s="19">
        <f t="shared" ref="F9:AP9" si="16">F10+F12+F11</f>
        <v>11923.26987</v>
      </c>
      <c r="G9" s="19">
        <f t="shared" si="16"/>
        <v>13398.5</v>
      </c>
      <c r="H9" s="19">
        <f t="shared" si="16"/>
        <v>13312.2</v>
      </c>
      <c r="I9" s="19">
        <f t="shared" si="16"/>
        <v>12556.57315</v>
      </c>
      <c r="J9" s="19">
        <f t="shared" si="16"/>
        <v>13125</v>
      </c>
      <c r="K9" s="19">
        <f t="shared" si="16"/>
        <v>12653.5</v>
      </c>
      <c r="L9" s="19">
        <f t="shared" si="16"/>
        <v>12123.741840000001</v>
      </c>
      <c r="M9" s="19">
        <f t="shared" si="16"/>
        <v>12123.741840000001</v>
      </c>
      <c r="N9" s="19">
        <f t="shared" si="16"/>
        <v>12839.7</v>
      </c>
      <c r="O9" s="19">
        <f t="shared" si="16"/>
        <v>12839.7</v>
      </c>
      <c r="P9" s="19">
        <f t="shared" si="16"/>
        <v>12038.29413</v>
      </c>
      <c r="Q9" s="19">
        <f t="shared" si="16"/>
        <v>12038.29413</v>
      </c>
      <c r="R9" s="19">
        <f t="shared" si="16"/>
        <v>12800</v>
      </c>
      <c r="S9" s="19">
        <f t="shared" si="16"/>
        <v>13315.900000000001</v>
      </c>
      <c r="T9" s="19">
        <f t="shared" si="16"/>
        <v>13374.017660000001</v>
      </c>
      <c r="U9" s="19">
        <f t="shared" si="16"/>
        <v>13374.01766</v>
      </c>
      <c r="V9" s="19">
        <f t="shared" si="16"/>
        <v>13150.00201</v>
      </c>
      <c r="W9" s="19">
        <f t="shared" si="16"/>
        <v>13059.1</v>
      </c>
      <c r="X9" s="19">
        <f t="shared" si="16"/>
        <v>13253.167410000002</v>
      </c>
      <c r="Y9" s="19">
        <f t="shared" si="16"/>
        <v>13253.167410000002</v>
      </c>
      <c r="Z9" s="19">
        <f t="shared" si="16"/>
        <v>13000.00201</v>
      </c>
      <c r="AA9" s="19">
        <f t="shared" si="16"/>
        <v>13360.1</v>
      </c>
      <c r="AB9" s="19">
        <f t="shared" si="16"/>
        <v>13867.235409999998</v>
      </c>
      <c r="AC9" s="19">
        <f t="shared" si="16"/>
        <v>13867.235409999998</v>
      </c>
      <c r="AD9" s="19">
        <f t="shared" si="16"/>
        <v>13450.00201</v>
      </c>
      <c r="AE9" s="19">
        <f t="shared" si="16"/>
        <v>13650</v>
      </c>
      <c r="AF9" s="19">
        <f t="shared" si="16"/>
        <v>13920.333840000001</v>
      </c>
      <c r="AG9" s="19">
        <f t="shared" si="16"/>
        <v>13920.333840000001</v>
      </c>
      <c r="AH9" s="19">
        <f t="shared" si="16"/>
        <v>13460.00201</v>
      </c>
      <c r="AI9" s="19">
        <f t="shared" si="16"/>
        <v>13480.00201</v>
      </c>
      <c r="AJ9" s="19">
        <f t="shared" si="16"/>
        <v>13500.00201</v>
      </c>
      <c r="AK9" s="19">
        <f t="shared" si="16"/>
        <v>14045</v>
      </c>
      <c r="AL9" s="19">
        <f t="shared" si="16"/>
        <v>14728.04859</v>
      </c>
      <c r="AM9" s="19">
        <f t="shared" si="16"/>
        <v>14728.04859</v>
      </c>
      <c r="AN9" s="19">
        <f t="shared" si="16"/>
        <v>14100.00201</v>
      </c>
      <c r="AO9" s="19">
        <f t="shared" si="16"/>
        <v>14100.00201</v>
      </c>
      <c r="AP9" s="19">
        <f t="shared" si="16"/>
        <v>14100.00201</v>
      </c>
      <c r="AQ9" s="19">
        <v>14100</v>
      </c>
      <c r="AR9" s="19">
        <v>14113.2</v>
      </c>
      <c r="AS9" s="19">
        <v>14464.2</v>
      </c>
      <c r="AT9" s="19">
        <f>AT10+AT12+AT11+AT13</f>
        <v>14521.800000000001</v>
      </c>
      <c r="AU9" s="19">
        <f>AU10+AU12+AU11+AU13</f>
        <v>14868.1</v>
      </c>
      <c r="AV9" s="19">
        <f>AV10+AV12+AV11+AV13</f>
        <v>15332.99559</v>
      </c>
      <c r="AW9" s="19">
        <f>AW10+AW12+AW11+AW13</f>
        <v>15332.99559</v>
      </c>
      <c r="AX9" s="19">
        <f t="shared" ref="AX9" si="17">AX10+AX12+AX11</f>
        <v>14820.00201</v>
      </c>
      <c r="AY9" s="19">
        <f>AY10+AY12+AY11</f>
        <v>14850.00201</v>
      </c>
      <c r="AZ9" s="19">
        <f>AZ10+AZ12+AZ11</f>
        <v>14900.00201</v>
      </c>
      <c r="BA9" s="19">
        <v>14820</v>
      </c>
      <c r="BB9" s="19">
        <v>14820</v>
      </c>
      <c r="BC9" s="19">
        <f>BC10+BC12+BC11+BC13</f>
        <v>16097</v>
      </c>
      <c r="BD9" s="19">
        <f>BD10+BD12+BD11+BD13</f>
        <v>16764.400000000001</v>
      </c>
      <c r="BE9" s="19">
        <f>BE10+BE12+BE11+BE13</f>
        <v>17298.138800000001</v>
      </c>
      <c r="BF9" s="19">
        <f>BF10+BF12+BF11+BF13</f>
        <v>17298.138800000001</v>
      </c>
      <c r="BG9" s="19">
        <f t="shared" ref="BG9" si="18">BG10+BG12+BG11</f>
        <v>15500.00201</v>
      </c>
      <c r="BH9" s="19">
        <f>BH10+BH12+BH11</f>
        <v>15700.00201</v>
      </c>
      <c r="BI9" s="19">
        <f>BI10+BI12+BI11</f>
        <v>15950.00201</v>
      </c>
      <c r="BJ9" s="19">
        <f t="shared" ref="BJ9:BK9" si="19">BJ10+BJ12+BJ11</f>
        <v>15500</v>
      </c>
      <c r="BK9" s="19">
        <f t="shared" si="19"/>
        <v>15500</v>
      </c>
      <c r="BL9" s="19">
        <f>SUM(BL10:BL14)</f>
        <v>17986.699999999997</v>
      </c>
      <c r="BM9" s="19">
        <f t="shared" ref="BM9" si="20">BM10+BM12+BM11</f>
        <v>18300.00201</v>
      </c>
      <c r="BN9" s="19">
        <f>BN10+BN12+BN11+BN13+BN14</f>
        <v>18786.15323</v>
      </c>
      <c r="BO9" s="19">
        <f>BO10+BO12+BO11+BO13+BO14</f>
        <v>18786.15323</v>
      </c>
      <c r="BP9" s="19">
        <f t="shared" ref="BP9" si="21">BP10+BP12+BP11</f>
        <v>18000.00201</v>
      </c>
      <c r="BQ9" s="19">
        <f>BQ10+BQ12+BQ11</f>
        <v>18500.00201</v>
      </c>
      <c r="BR9" s="19">
        <f>BR10+BR12+BR11</f>
        <v>19000.00201</v>
      </c>
      <c r="BS9" s="19">
        <f>BS10+BS12+BS11</f>
        <v>18000</v>
      </c>
      <c r="BT9" s="19">
        <f>BT10+BT12+BT11</f>
        <v>18000</v>
      </c>
      <c r="BU9" s="19">
        <f>BU10+BU12+BU11+BU13+BU14</f>
        <v>18213</v>
      </c>
      <c r="BV9" s="23">
        <f t="shared" si="7"/>
        <v>108.60216493348985</v>
      </c>
      <c r="BW9" s="19">
        <f>BW10+BW12+BW11+BW13+BW14</f>
        <v>14476.6</v>
      </c>
      <c r="BX9" s="23">
        <f t="shared" si="8"/>
        <v>75.398958333333326</v>
      </c>
      <c r="BY9" s="19">
        <v>19200</v>
      </c>
      <c r="BZ9" s="23">
        <f t="shared" ref="BZ9:BZ36" si="22">BY9/BN9*100</f>
        <v>102.20293513490095</v>
      </c>
      <c r="CA9" s="19">
        <f t="shared" ref="CA9" si="23">CA10+CA12+CA11</f>
        <v>18200.00201</v>
      </c>
      <c r="CB9" s="23">
        <f t="shared" si="10"/>
        <v>94.791677135416663</v>
      </c>
      <c r="CC9" s="23">
        <f t="shared" ref="CC9:CC36" si="24">CA9/BQ9*100</f>
        <v>98.378378554565359</v>
      </c>
      <c r="CD9" s="19">
        <f>CD10+CD12+CD11</f>
        <v>18400.00201</v>
      </c>
      <c r="CE9" s="23">
        <f t="shared" si="11"/>
        <v>101.09890097753895</v>
      </c>
      <c r="CF9" s="23">
        <f t="shared" ref="CF9:CF36" si="25">CD9/BR9*100</f>
        <v>96.842105597229875</v>
      </c>
      <c r="CG9" s="19">
        <f>CG10+CG12+CG11</f>
        <v>18700.00201</v>
      </c>
      <c r="CH9" s="23">
        <f t="shared" si="12"/>
        <v>101.63043460450143</v>
      </c>
    </row>
    <row r="10" spans="1:86" ht="27" hidden="1" customHeight="1" x14ac:dyDescent="0.25">
      <c r="A10" s="9" t="s">
        <v>92</v>
      </c>
      <c r="B10" s="25" t="s">
        <v>93</v>
      </c>
      <c r="C10" s="23">
        <v>11466.40632</v>
      </c>
      <c r="D10" s="23">
        <v>10700</v>
      </c>
      <c r="E10" s="23">
        <v>12393.98</v>
      </c>
      <c r="F10" s="23">
        <f>11899.99106+8.61373</f>
        <v>11908.604789999999</v>
      </c>
      <c r="G10" s="23">
        <v>13384.5</v>
      </c>
      <c r="H10" s="23">
        <v>13292.2</v>
      </c>
      <c r="I10" s="23">
        <f>-11.67359+12551.0284+0.1578+0.02</f>
        <v>12539.53261</v>
      </c>
      <c r="J10" s="23">
        <v>13125</v>
      </c>
      <c r="K10" s="23">
        <v>12632</v>
      </c>
      <c r="L10" s="23">
        <f>0.12/1000+12100.91792+0.64989+0.3</f>
        <v>12101.86793</v>
      </c>
      <c r="M10" s="23">
        <f>0.12/1000+12100.91792+0.64989+0.3</f>
        <v>12101.86793</v>
      </c>
      <c r="N10" s="23">
        <v>12839.7</v>
      </c>
      <c r="O10" s="23">
        <v>12839.7</v>
      </c>
      <c r="P10" s="23">
        <f>12036.89513+11.4/1000+3/1000</f>
        <v>12036.909530000001</v>
      </c>
      <c r="Q10" s="23">
        <f>12036.89513+11.4/1000+3/1000</f>
        <v>12036.909530000001</v>
      </c>
      <c r="R10" s="23">
        <v>12800</v>
      </c>
      <c r="S10" s="23">
        <v>13313.7</v>
      </c>
      <c r="T10" s="23">
        <f>13375.09381+3.24537+0.2+0.025</f>
        <v>13378.564180000001</v>
      </c>
      <c r="U10" s="23">
        <v>13371.83246</v>
      </c>
      <c r="V10" s="23">
        <v>13150</v>
      </c>
      <c r="W10" s="23">
        <v>13050</v>
      </c>
      <c r="X10" s="23">
        <v>13242.48407</v>
      </c>
      <c r="Y10" s="23">
        <v>13242.48407</v>
      </c>
      <c r="Z10" s="23">
        <v>13000</v>
      </c>
      <c r="AA10" s="23">
        <v>13360.1</v>
      </c>
      <c r="AB10" s="23">
        <f>13855.49225+1.27635+1.29344</f>
        <v>13858.062039999999</v>
      </c>
      <c r="AC10" s="23">
        <f>13855.49225+1.27635+1.29344</f>
        <v>13858.062039999999</v>
      </c>
      <c r="AD10" s="23">
        <v>13450</v>
      </c>
      <c r="AE10" s="23">
        <v>13450</v>
      </c>
      <c r="AF10" s="23">
        <v>13718.92712</v>
      </c>
      <c r="AG10" s="23">
        <v>13718.92712</v>
      </c>
      <c r="AH10" s="23">
        <v>13460</v>
      </c>
      <c r="AI10" s="23">
        <v>13480</v>
      </c>
      <c r="AJ10" s="23">
        <v>13500</v>
      </c>
      <c r="AK10" s="23">
        <v>14045</v>
      </c>
      <c r="AL10" s="23">
        <v>14735.07633</v>
      </c>
      <c r="AM10" s="23">
        <v>14735.07633</v>
      </c>
      <c r="AN10" s="23">
        <v>14100</v>
      </c>
      <c r="AO10" s="23">
        <v>14100</v>
      </c>
      <c r="AP10" s="23">
        <v>14100</v>
      </c>
      <c r="AQ10" s="23"/>
      <c r="AR10" s="23"/>
      <c r="AS10" s="23"/>
      <c r="AT10" s="23">
        <v>14441.6</v>
      </c>
      <c r="AU10" s="23">
        <v>14747.9</v>
      </c>
      <c r="AV10" s="23">
        <f>15207.88823+2.72864</f>
        <v>15210.61687</v>
      </c>
      <c r="AW10" s="23">
        <f>15210.61687</f>
        <v>15210.61687</v>
      </c>
      <c r="AX10" s="23">
        <v>14820</v>
      </c>
      <c r="AY10" s="23">
        <v>14850</v>
      </c>
      <c r="AZ10" s="23">
        <v>14900</v>
      </c>
      <c r="BA10" s="23"/>
      <c r="BB10" s="23"/>
      <c r="BC10" s="26">
        <v>16020</v>
      </c>
      <c r="BD10" s="23">
        <v>16620</v>
      </c>
      <c r="BE10" s="23">
        <v>17128.97207</v>
      </c>
      <c r="BF10" s="23">
        <v>17128.97207</v>
      </c>
      <c r="BG10" s="23">
        <v>15500</v>
      </c>
      <c r="BH10" s="23">
        <v>15700</v>
      </c>
      <c r="BI10" s="23">
        <v>15950</v>
      </c>
      <c r="BJ10" s="19">
        <v>15500</v>
      </c>
      <c r="BK10" s="22">
        <v>15500</v>
      </c>
      <c r="BL10" s="23">
        <v>17833</v>
      </c>
      <c r="BM10" s="23">
        <v>18300</v>
      </c>
      <c r="BN10" s="23">
        <v>18540.49034</v>
      </c>
      <c r="BO10" s="23">
        <v>18540.49034</v>
      </c>
      <c r="BP10" s="23">
        <v>18000</v>
      </c>
      <c r="BQ10" s="23">
        <v>18500</v>
      </c>
      <c r="BR10" s="23">
        <v>19000</v>
      </c>
      <c r="BS10" s="22">
        <v>18000</v>
      </c>
      <c r="BT10" s="23">
        <v>18000</v>
      </c>
      <c r="BU10" s="23">
        <v>18000</v>
      </c>
      <c r="BV10" s="23">
        <f t="shared" si="7"/>
        <v>108.24053109685525</v>
      </c>
      <c r="BW10" s="23">
        <v>14293.1</v>
      </c>
      <c r="BX10" s="23" t="e">
        <f t="shared" si="8"/>
        <v>#DIV/0!</v>
      </c>
      <c r="BY10" s="23"/>
      <c r="BZ10" s="23">
        <f t="shared" si="22"/>
        <v>0</v>
      </c>
      <c r="CA10" s="23">
        <v>18200</v>
      </c>
      <c r="CB10" s="23" t="e">
        <f t="shared" si="10"/>
        <v>#DIV/0!</v>
      </c>
      <c r="CC10" s="23">
        <f t="shared" si="24"/>
        <v>98.378378378378386</v>
      </c>
      <c r="CD10" s="23">
        <v>18400</v>
      </c>
      <c r="CE10" s="23">
        <f t="shared" si="11"/>
        <v>101.09890109890109</v>
      </c>
      <c r="CF10" s="23">
        <f t="shared" si="25"/>
        <v>96.84210526315789</v>
      </c>
      <c r="CG10" s="23">
        <v>18700</v>
      </c>
      <c r="CH10" s="23">
        <f t="shared" si="12"/>
        <v>101.63043478260869</v>
      </c>
    </row>
    <row r="11" spans="1:86" ht="27" hidden="1" customHeight="1" x14ac:dyDescent="0.25">
      <c r="A11" s="9" t="s">
        <v>94</v>
      </c>
      <c r="B11" s="27" t="s">
        <v>95</v>
      </c>
      <c r="C11" s="23">
        <v>5.1579300000000003</v>
      </c>
      <c r="D11" s="23"/>
      <c r="E11" s="23">
        <v>2.42</v>
      </c>
      <c r="F11" s="23">
        <f>2.2518+0.06818+0.1</f>
        <v>2.4199799999999998</v>
      </c>
      <c r="G11" s="23">
        <v>2</v>
      </c>
      <c r="H11" s="23">
        <v>8</v>
      </c>
      <c r="I11" s="23">
        <f>5.284+0.05502+0.1</f>
        <v>5.4390199999999993</v>
      </c>
      <c r="J11" s="23">
        <v>0</v>
      </c>
      <c r="K11" s="23">
        <v>17</v>
      </c>
      <c r="L11" s="23">
        <f>12.9505+2.55428+1.88108</f>
        <v>17.385860000000001</v>
      </c>
      <c r="M11" s="23">
        <f>12.9505+2.55428+1.88108</f>
        <v>17.385860000000001</v>
      </c>
      <c r="N11" s="23">
        <v>0</v>
      </c>
      <c r="O11" s="23">
        <v>0</v>
      </c>
      <c r="P11" s="23">
        <f>-0.4144-1.77/1000</f>
        <v>-0.41616999999999998</v>
      </c>
      <c r="Q11" s="23">
        <f>-0.4144-1.77/1000</f>
        <v>-0.41616999999999998</v>
      </c>
      <c r="R11" s="23">
        <v>0</v>
      </c>
      <c r="S11" s="23">
        <v>0</v>
      </c>
      <c r="T11" s="23">
        <f>-7.0487+16.98/1000+0.3</f>
        <v>-6.7317200000000001</v>
      </c>
      <c r="U11" s="23">
        <v>0</v>
      </c>
      <c r="V11" s="23">
        <v>0</v>
      </c>
      <c r="W11" s="23">
        <v>0</v>
      </c>
      <c r="X11" s="23">
        <v>1.34372</v>
      </c>
      <c r="Y11" s="23">
        <v>1.34372</v>
      </c>
      <c r="Z11" s="23">
        <v>0</v>
      </c>
      <c r="AA11" s="23">
        <v>0</v>
      </c>
      <c r="AB11" s="23">
        <f>6.30413+0.05456+0.62501-0.00203</f>
        <v>6.9816699999999994</v>
      </c>
      <c r="AC11" s="23">
        <f>6.30413+0.05456+0.62501-0.00203</f>
        <v>6.9816699999999994</v>
      </c>
      <c r="AD11" s="23">
        <v>0</v>
      </c>
      <c r="AE11" s="23">
        <v>195</v>
      </c>
      <c r="AF11" s="23">
        <v>195.68056000000001</v>
      </c>
      <c r="AG11" s="23">
        <v>195.68056000000001</v>
      </c>
      <c r="AH11" s="23">
        <v>0</v>
      </c>
      <c r="AI11" s="23">
        <v>0</v>
      </c>
      <c r="AJ11" s="23">
        <v>0</v>
      </c>
      <c r="AK11" s="23">
        <v>0</v>
      </c>
      <c r="AL11" s="23">
        <f>0.0195+1.68526-10.61183</f>
        <v>-8.9070699999999992</v>
      </c>
      <c r="AM11" s="23">
        <f>0.0195+1.68526-10.61183</f>
        <v>-8.9070699999999992</v>
      </c>
      <c r="AN11" s="23">
        <v>0</v>
      </c>
      <c r="AO11" s="23">
        <v>0</v>
      </c>
      <c r="AP11" s="23">
        <v>0</v>
      </c>
      <c r="AQ11" s="23"/>
      <c r="AR11" s="23"/>
      <c r="AS11" s="23"/>
      <c r="AT11" s="23">
        <v>13.2</v>
      </c>
      <c r="AU11" s="23">
        <v>13.2</v>
      </c>
      <c r="AV11" s="23">
        <f>8.67901+3.3816+1.76515</f>
        <v>13.825760000000001</v>
      </c>
      <c r="AW11" s="23">
        <v>13.825760000000001</v>
      </c>
      <c r="AX11" s="23">
        <v>0</v>
      </c>
      <c r="AY11" s="23">
        <v>0</v>
      </c>
      <c r="AZ11" s="23">
        <v>0</v>
      </c>
      <c r="BA11" s="23"/>
      <c r="BB11" s="23"/>
      <c r="BC11" s="26">
        <v>0</v>
      </c>
      <c r="BD11" s="23">
        <v>0</v>
      </c>
      <c r="BE11" s="23">
        <v>0.13661999999999999</v>
      </c>
      <c r="BF11" s="23">
        <v>0.13661999999999999</v>
      </c>
      <c r="BG11" s="23">
        <v>0</v>
      </c>
      <c r="BH11" s="23">
        <v>0</v>
      </c>
      <c r="BI11" s="23">
        <v>0</v>
      </c>
      <c r="BJ11" s="19"/>
      <c r="BK11" s="22"/>
      <c r="BL11" s="23">
        <v>1</v>
      </c>
      <c r="BM11" s="23">
        <v>0</v>
      </c>
      <c r="BN11" s="23">
        <v>1.08005</v>
      </c>
      <c r="BO11" s="23">
        <v>1.08005</v>
      </c>
      <c r="BP11" s="23">
        <v>0</v>
      </c>
      <c r="BQ11" s="23">
        <v>0</v>
      </c>
      <c r="BR11" s="23">
        <v>0</v>
      </c>
      <c r="BS11" s="22"/>
      <c r="BT11" s="23"/>
      <c r="BU11" s="23"/>
      <c r="BV11" s="23">
        <f t="shared" si="7"/>
        <v>790.55043185477962</v>
      </c>
      <c r="BW11" s="23"/>
      <c r="BX11" s="23" t="e">
        <f t="shared" si="8"/>
        <v>#DIV/0!</v>
      </c>
      <c r="BY11" s="23"/>
      <c r="BZ11" s="23">
        <f t="shared" si="22"/>
        <v>0</v>
      </c>
      <c r="CA11" s="23">
        <v>0</v>
      </c>
      <c r="CB11" s="23" t="e">
        <f t="shared" si="10"/>
        <v>#DIV/0!</v>
      </c>
      <c r="CC11" s="23" t="e">
        <f t="shared" si="24"/>
        <v>#DIV/0!</v>
      </c>
      <c r="CD11" s="23">
        <v>0</v>
      </c>
      <c r="CE11" s="23" t="e">
        <f t="shared" si="11"/>
        <v>#DIV/0!</v>
      </c>
      <c r="CF11" s="23" t="e">
        <f t="shared" si="25"/>
        <v>#DIV/0!</v>
      </c>
      <c r="CG11" s="23">
        <v>0</v>
      </c>
      <c r="CH11" s="23" t="e">
        <f t="shared" si="12"/>
        <v>#DIV/0!</v>
      </c>
    </row>
    <row r="12" spans="1:86" ht="27" hidden="1" customHeight="1" x14ac:dyDescent="0.25">
      <c r="A12" s="9" t="s">
        <v>96</v>
      </c>
      <c r="B12" s="27" t="s">
        <v>97</v>
      </c>
      <c r="C12" s="23">
        <v>3.0457999999999998</v>
      </c>
      <c r="D12" s="23">
        <v>3</v>
      </c>
      <c r="E12" s="23">
        <v>12.3</v>
      </c>
      <c r="F12" s="23">
        <v>12.245100000000001</v>
      </c>
      <c r="G12" s="23">
        <v>12</v>
      </c>
      <c r="H12" s="23">
        <v>12</v>
      </c>
      <c r="I12" s="23">
        <f>11.6013+0.00022</f>
        <v>11.601520000000001</v>
      </c>
      <c r="J12" s="23">
        <v>0</v>
      </c>
      <c r="K12" s="23">
        <v>4.5</v>
      </c>
      <c r="L12" s="23">
        <f>-0.12/1000+3.7493+38.87/1000+0.7</f>
        <v>4.4880500000000003</v>
      </c>
      <c r="M12" s="23">
        <f>-0.12/1000+3.7493+38.87/1000+0.7</f>
        <v>4.4880500000000003</v>
      </c>
      <c r="N12" s="23">
        <v>0</v>
      </c>
      <c r="O12" s="23">
        <v>0</v>
      </c>
      <c r="P12" s="23">
        <f>0.1/1000+0.9427+32.97/1000+0.825</f>
        <v>1.80077</v>
      </c>
      <c r="Q12" s="23">
        <f>0.1/1000+0.9427+32.97/1000+0.825</f>
        <v>1.80077</v>
      </c>
      <c r="R12" s="23">
        <v>0</v>
      </c>
      <c r="S12" s="23">
        <v>2.2000000000000002</v>
      </c>
      <c r="T12" s="23">
        <f>1.8719+13.3/1000+0.3</f>
        <v>2.1852</v>
      </c>
      <c r="U12" s="23">
        <v>2.1852</v>
      </c>
      <c r="V12" s="23">
        <v>2.0100000000000001E-3</v>
      </c>
      <c r="W12" s="23">
        <v>9.1</v>
      </c>
      <c r="X12" s="23">
        <v>9.33962</v>
      </c>
      <c r="Y12" s="23">
        <v>9.33962</v>
      </c>
      <c r="Z12" s="23">
        <v>2.0100000000000001E-3</v>
      </c>
      <c r="AA12" s="23">
        <v>0</v>
      </c>
      <c r="AB12" s="23">
        <f>1.6486+0.0181+0.525</f>
        <v>2.1917</v>
      </c>
      <c r="AC12" s="23">
        <f>1.6486+0.0181+0.525</f>
        <v>2.1917</v>
      </c>
      <c r="AD12" s="23">
        <v>2.0100000000000001E-3</v>
      </c>
      <c r="AE12" s="23">
        <v>5</v>
      </c>
      <c r="AF12" s="23">
        <v>5.7261600000000001</v>
      </c>
      <c r="AG12" s="23">
        <v>5.7261600000000001</v>
      </c>
      <c r="AH12" s="23">
        <v>2.0100000000000001E-3</v>
      </c>
      <c r="AI12" s="23">
        <v>2.0100000000000001E-3</v>
      </c>
      <c r="AJ12" s="23">
        <v>2.0100000000000001E-3</v>
      </c>
      <c r="AK12" s="23">
        <v>0</v>
      </c>
      <c r="AL12" s="23">
        <f>1.87933</f>
        <v>1.8793299999999999</v>
      </c>
      <c r="AM12" s="23">
        <f>1.87933</f>
        <v>1.8793299999999999</v>
      </c>
      <c r="AN12" s="23">
        <v>2.0100000000000001E-3</v>
      </c>
      <c r="AO12" s="23">
        <v>2.0100000000000001E-3</v>
      </c>
      <c r="AP12" s="23">
        <v>2.0100000000000001E-3</v>
      </c>
      <c r="AQ12" s="23"/>
      <c r="AR12" s="23"/>
      <c r="AS12" s="23"/>
      <c r="AT12" s="23">
        <v>41</v>
      </c>
      <c r="AU12" s="23">
        <v>68</v>
      </c>
      <c r="AV12" s="23">
        <f>67.78149+0.96078</f>
        <v>68.742270000000005</v>
      </c>
      <c r="AW12" s="23">
        <v>68.742270000000005</v>
      </c>
      <c r="AX12" s="23">
        <v>2.0100000000000001E-3</v>
      </c>
      <c r="AY12" s="23">
        <v>2.0100000000000001E-3</v>
      </c>
      <c r="AZ12" s="23">
        <v>2.0100000000000001E-3</v>
      </c>
      <c r="BA12" s="23"/>
      <c r="BB12" s="23"/>
      <c r="BC12" s="26">
        <v>26.6</v>
      </c>
      <c r="BD12" s="23">
        <v>33.4</v>
      </c>
      <c r="BE12" s="23">
        <v>33.429000000000002</v>
      </c>
      <c r="BF12" s="23">
        <v>33.429000000000002</v>
      </c>
      <c r="BG12" s="23">
        <v>2.0100000000000001E-3</v>
      </c>
      <c r="BH12" s="23">
        <v>2.0100000000000001E-3</v>
      </c>
      <c r="BI12" s="23">
        <v>2.0100000000000001E-3</v>
      </c>
      <c r="BJ12" s="19"/>
      <c r="BK12" s="22"/>
      <c r="BL12" s="23">
        <v>19.5</v>
      </c>
      <c r="BM12" s="23">
        <v>2.0100000000000001E-3</v>
      </c>
      <c r="BN12" s="23">
        <v>20.931290000000001</v>
      </c>
      <c r="BO12" s="23">
        <v>20.931290000000001</v>
      </c>
      <c r="BP12" s="23">
        <v>2.0100000000000001E-3</v>
      </c>
      <c r="BQ12" s="23">
        <v>2.0100000000000001E-3</v>
      </c>
      <c r="BR12" s="23">
        <v>2.0100000000000001E-3</v>
      </c>
      <c r="BS12" s="22"/>
      <c r="BT12" s="23"/>
      <c r="BU12" s="23">
        <v>100</v>
      </c>
      <c r="BV12" s="23">
        <f t="shared" si="7"/>
        <v>62.614167339734962</v>
      </c>
      <c r="BW12" s="23">
        <v>97</v>
      </c>
      <c r="BX12" s="23" t="e">
        <f t="shared" si="8"/>
        <v>#DIV/0!</v>
      </c>
      <c r="BY12" s="23"/>
      <c r="BZ12" s="23">
        <f t="shared" si="22"/>
        <v>0</v>
      </c>
      <c r="CA12" s="23">
        <v>2.0100000000000001E-3</v>
      </c>
      <c r="CB12" s="23" t="e">
        <f t="shared" si="10"/>
        <v>#DIV/0!</v>
      </c>
      <c r="CC12" s="23">
        <f t="shared" si="24"/>
        <v>100</v>
      </c>
      <c r="CD12" s="23">
        <v>2.0100000000000001E-3</v>
      </c>
      <c r="CE12" s="23">
        <f t="shared" si="11"/>
        <v>100</v>
      </c>
      <c r="CF12" s="23">
        <f t="shared" si="25"/>
        <v>100</v>
      </c>
      <c r="CG12" s="23">
        <v>2.0100000000000001E-3</v>
      </c>
      <c r="CH12" s="23">
        <f t="shared" si="12"/>
        <v>100</v>
      </c>
    </row>
    <row r="13" spans="1:86" ht="27" hidden="1" customHeight="1" x14ac:dyDescent="0.25">
      <c r="A13" s="9" t="s">
        <v>98</v>
      </c>
      <c r="B13" s="27" t="s">
        <v>99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>
        <v>26</v>
      </c>
      <c r="AU13" s="23">
        <v>39</v>
      </c>
      <c r="AV13" s="23">
        <v>39.810690000000001</v>
      </c>
      <c r="AW13" s="23">
        <v>39.810690000000001</v>
      </c>
      <c r="AX13" s="23"/>
      <c r="AY13" s="23"/>
      <c r="AZ13" s="23"/>
      <c r="BA13" s="23"/>
      <c r="BB13" s="23"/>
      <c r="BC13" s="26">
        <v>50.4</v>
      </c>
      <c r="BD13" s="23">
        <v>111</v>
      </c>
      <c r="BE13" s="23">
        <v>135.60111000000001</v>
      </c>
      <c r="BF13" s="23">
        <v>135.60111000000001</v>
      </c>
      <c r="BG13" s="23"/>
      <c r="BH13" s="23"/>
      <c r="BI13" s="23"/>
      <c r="BJ13" s="19"/>
      <c r="BK13" s="22"/>
      <c r="BL13" s="23">
        <v>131.6</v>
      </c>
      <c r="BM13" s="23"/>
      <c r="BN13" s="23">
        <v>220.45266000000001</v>
      </c>
      <c r="BO13" s="23">
        <v>220.45266000000001</v>
      </c>
      <c r="BP13" s="23"/>
      <c r="BQ13" s="23"/>
      <c r="BR13" s="23"/>
      <c r="BS13" s="22"/>
      <c r="BT13" s="23"/>
      <c r="BU13" s="23">
        <v>100</v>
      </c>
      <c r="BV13" s="23">
        <f t="shared" si="7"/>
        <v>162.57437715664719</v>
      </c>
      <c r="BW13" s="23">
        <v>77.5</v>
      </c>
      <c r="BX13" s="23" t="e">
        <f t="shared" si="8"/>
        <v>#DIV/0!</v>
      </c>
      <c r="BY13" s="23"/>
      <c r="BZ13" s="23">
        <f t="shared" si="22"/>
        <v>0</v>
      </c>
      <c r="CA13" s="23"/>
      <c r="CB13" s="23" t="e">
        <f t="shared" si="10"/>
        <v>#DIV/0!</v>
      </c>
      <c r="CC13" s="23" t="e">
        <f t="shared" si="24"/>
        <v>#DIV/0!</v>
      </c>
      <c r="CD13" s="23"/>
      <c r="CE13" s="23" t="e">
        <f t="shared" si="11"/>
        <v>#DIV/0!</v>
      </c>
      <c r="CF13" s="23" t="e">
        <f t="shared" si="25"/>
        <v>#DIV/0!</v>
      </c>
      <c r="CG13" s="23"/>
      <c r="CH13" s="23" t="e">
        <f>CG13/CD13*100</f>
        <v>#DIV/0!</v>
      </c>
    </row>
    <row r="14" spans="1:86" ht="27" hidden="1" customHeight="1" x14ac:dyDescent="0.25">
      <c r="A14" s="28" t="s">
        <v>100</v>
      </c>
      <c r="B14" s="27" t="s">
        <v>101</v>
      </c>
      <c r="C14" s="23"/>
      <c r="D14" s="23">
        <v>0</v>
      </c>
      <c r="E14" s="23">
        <v>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6"/>
      <c r="BD14" s="23"/>
      <c r="BE14" s="23"/>
      <c r="BF14" s="23"/>
      <c r="BG14" s="23"/>
      <c r="BH14" s="23"/>
      <c r="BI14" s="23"/>
      <c r="BJ14" s="19"/>
      <c r="BK14" s="22"/>
      <c r="BL14" s="23">
        <v>1.6</v>
      </c>
      <c r="BM14" s="23"/>
      <c r="BN14" s="23">
        <f>3.1988+0.09/1000</f>
        <v>3.19889</v>
      </c>
      <c r="BO14" s="23">
        <f>3.1988+0.09/1000</f>
        <v>3.19889</v>
      </c>
      <c r="BP14" s="23"/>
      <c r="BQ14" s="23"/>
      <c r="BR14" s="23"/>
      <c r="BS14" s="22"/>
      <c r="BT14" s="23"/>
      <c r="BU14" s="23">
        <v>13</v>
      </c>
      <c r="BV14" s="23" t="e">
        <f t="shared" si="7"/>
        <v>#DIV/0!</v>
      </c>
      <c r="BW14" s="23">
        <v>9</v>
      </c>
      <c r="BX14" s="23" t="e">
        <f t="shared" si="8"/>
        <v>#DIV/0!</v>
      </c>
      <c r="BY14" s="23"/>
      <c r="BZ14" s="23">
        <f t="shared" si="22"/>
        <v>0</v>
      </c>
      <c r="CA14" s="23"/>
      <c r="CB14" s="23" t="e">
        <f t="shared" si="10"/>
        <v>#DIV/0!</v>
      </c>
      <c r="CC14" s="23" t="e">
        <f t="shared" si="24"/>
        <v>#DIV/0!</v>
      </c>
      <c r="CD14" s="23"/>
      <c r="CE14" s="23" t="e">
        <f t="shared" si="11"/>
        <v>#DIV/0!</v>
      </c>
      <c r="CF14" s="23" t="e">
        <f t="shared" si="25"/>
        <v>#DIV/0!</v>
      </c>
      <c r="CG14" s="23"/>
      <c r="CH14" s="23" t="e">
        <f t="shared" ref="CH14:CH60" si="26">CG14/CD14*100</f>
        <v>#DIV/0!</v>
      </c>
    </row>
    <row r="15" spans="1:86" ht="27.75" customHeight="1" x14ac:dyDescent="0.25">
      <c r="A15" s="29" t="s">
        <v>102</v>
      </c>
      <c r="B15" s="30" t="s">
        <v>103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19">
        <f>V16+V17+V18</f>
        <v>4215</v>
      </c>
      <c r="W15" s="19">
        <f>W16+W17+W18</f>
        <v>3480.9</v>
      </c>
      <c r="X15" s="19">
        <f>X16+X17+X18+X19</f>
        <v>3396.5520000000001</v>
      </c>
      <c r="Y15" s="19">
        <f>Y16+Y17+Y18+Y19</f>
        <v>3396.5520000000001</v>
      </c>
      <c r="Z15" s="19">
        <f>Z16+Z17+Z18</f>
        <v>3943.7</v>
      </c>
      <c r="AA15" s="19">
        <f>AA16+AA17+AA18</f>
        <v>3943.7</v>
      </c>
      <c r="AB15" s="19">
        <f>AB16+AB17+AB18+AB19</f>
        <v>4622.7254899999998</v>
      </c>
      <c r="AC15" s="19">
        <f>AC16+AC17+AC18+AC19</f>
        <v>4622.7254899999998</v>
      </c>
      <c r="AD15" s="19">
        <f>AD16+AD17+AD18</f>
        <v>4776.3</v>
      </c>
      <c r="AE15" s="19">
        <f>AE16+AE17+AE18</f>
        <v>5176.3</v>
      </c>
      <c r="AF15" s="19">
        <f>AF16+AF17+AF18+AF19</f>
        <v>5269.6480899999997</v>
      </c>
      <c r="AG15" s="19">
        <f>AG16+AG17+AG18+AG19</f>
        <v>5269.6480899999997</v>
      </c>
      <c r="AH15" s="19">
        <f>AH16+AH17+AH18</f>
        <v>4923.1000000000004</v>
      </c>
      <c r="AI15" s="19">
        <f>AI16+AI17+AI18</f>
        <v>5479.5</v>
      </c>
      <c r="AJ15" s="19">
        <f>AJ16+AJ17+AJ18</f>
        <v>5479.5</v>
      </c>
      <c r="AK15" s="19">
        <f>AK16+AK17+AK18</f>
        <v>4853.1000000000004</v>
      </c>
      <c r="AL15" s="19">
        <f>AL16+AL17+AL18+AL19</f>
        <v>4839.3697499999998</v>
      </c>
      <c r="AM15" s="19">
        <f>AM16+AM17+AM18+AM19</f>
        <v>4839.3697499999998</v>
      </c>
      <c r="AN15" s="19">
        <f>AN16+AN17+AN18</f>
        <v>6790.4000000000005</v>
      </c>
      <c r="AO15" s="19">
        <f>AO16+AO17+AO18</f>
        <v>6790.4000000000005</v>
      </c>
      <c r="AP15" s="19">
        <f>AP16+AP17+AP18</f>
        <v>6790.4000000000005</v>
      </c>
      <c r="AQ15" s="19">
        <v>6790.4</v>
      </c>
      <c r="AR15" s="19">
        <v>6790.4</v>
      </c>
      <c r="AS15" s="19">
        <v>6790.4</v>
      </c>
      <c r="AT15" s="19">
        <f>AT16+AT17+AT18+AT19</f>
        <v>6790.4000000000005</v>
      </c>
      <c r="AU15" s="19">
        <f>AU16+AU17+AU18+AU19</f>
        <v>7040.4000000000005</v>
      </c>
      <c r="AV15" s="19">
        <f>AV16+AV17+AV18+AV19</f>
        <v>7729.1224999999995</v>
      </c>
      <c r="AW15" s="19">
        <f>AW16+AW17+AW18+AW19</f>
        <v>7729.1224999999995</v>
      </c>
      <c r="AX15" s="19">
        <f>AX16+AX17+AX18</f>
        <v>7486.8</v>
      </c>
      <c r="AY15" s="19">
        <f>AY16+AY17+AY18</f>
        <v>7896.2</v>
      </c>
      <c r="AZ15" s="19">
        <f>AZ16+AZ17+AZ18</f>
        <v>7896.2</v>
      </c>
      <c r="BA15" s="19">
        <v>8103.5</v>
      </c>
      <c r="BB15" s="19">
        <v>8103.5</v>
      </c>
      <c r="BC15" s="22">
        <f t="shared" ref="BC15:BD15" si="27">BC16+BC17+BC18</f>
        <v>8603.5</v>
      </c>
      <c r="BD15" s="19">
        <f t="shared" si="27"/>
        <v>8603.5</v>
      </c>
      <c r="BE15" s="19">
        <f>BE16+BE17+BE18+BE19</f>
        <v>9350.9953000000005</v>
      </c>
      <c r="BF15" s="19">
        <f>BF16+BF17+BF18+BF19</f>
        <v>9350.9953000000005</v>
      </c>
      <c r="BG15" s="19">
        <f>BG16+BG17+BG18</f>
        <v>7987.7000000000007</v>
      </c>
      <c r="BH15" s="19">
        <f>BH16+BH17+BH18</f>
        <v>8114</v>
      </c>
      <c r="BI15" s="19">
        <f>BI16+BI17+BI18</f>
        <v>8114</v>
      </c>
      <c r="BJ15" s="19">
        <f t="shared" ref="BJ15:BL15" si="28">BJ16+BJ17+BJ18</f>
        <v>7987.7000000000007</v>
      </c>
      <c r="BK15" s="19">
        <f t="shared" si="28"/>
        <v>7987.7000000000007</v>
      </c>
      <c r="BL15" s="19">
        <f t="shared" si="28"/>
        <v>8547.2999999999993</v>
      </c>
      <c r="BM15" s="19">
        <v>9628.7000000000007</v>
      </c>
      <c r="BN15" s="19">
        <f>BN16+BN17+BN18+BN19</f>
        <v>9913.1273799999999</v>
      </c>
      <c r="BO15" s="19">
        <f>BO16+BO17+BO18+BO19</f>
        <v>9913.1273799999999</v>
      </c>
      <c r="BP15" s="19">
        <f t="shared" ref="BP15:BU15" si="29">BP16+BP17+BP18</f>
        <v>9916.4</v>
      </c>
      <c r="BQ15" s="19">
        <f t="shared" si="29"/>
        <v>10114.700000000001</v>
      </c>
      <c r="BR15" s="19">
        <f t="shared" si="29"/>
        <v>10114.700000000001</v>
      </c>
      <c r="BS15" s="19">
        <f t="shared" si="29"/>
        <v>9916.4</v>
      </c>
      <c r="BT15" s="19">
        <f t="shared" si="29"/>
        <v>9916.4</v>
      </c>
      <c r="BU15" s="19">
        <f t="shared" si="29"/>
        <v>9916.4</v>
      </c>
      <c r="BV15" s="23">
        <f t="shared" si="7"/>
        <v>106.0114678915516</v>
      </c>
      <c r="BW15" s="19">
        <f>BW16+BW17+BW18+BW19</f>
        <v>7404.1</v>
      </c>
      <c r="BX15" s="23">
        <f t="shared" si="8"/>
        <v>66.015496134882355</v>
      </c>
      <c r="BY15" s="19">
        <v>11215.7</v>
      </c>
      <c r="BZ15" s="23">
        <f t="shared" si="22"/>
        <v>113.13987574322888</v>
      </c>
      <c r="CA15" s="19">
        <f>CA16+CA17+CA18</f>
        <v>10776.2</v>
      </c>
      <c r="CB15" s="23">
        <f t="shared" si="10"/>
        <v>96.081385914387866</v>
      </c>
      <c r="CC15" s="23">
        <f t="shared" si="24"/>
        <v>106.53998635649104</v>
      </c>
      <c r="CD15" s="19">
        <f>CD16+CD17+CD18</f>
        <v>10913.1</v>
      </c>
      <c r="CE15" s="23">
        <f t="shared" si="11"/>
        <v>101.27039216050184</v>
      </c>
      <c r="CF15" s="23">
        <f t="shared" si="25"/>
        <v>107.89346199096363</v>
      </c>
      <c r="CG15" s="19">
        <f>CG16+CG17+CG18</f>
        <v>12392.6</v>
      </c>
      <c r="CH15" s="23">
        <f t="shared" si="26"/>
        <v>113.55710109867955</v>
      </c>
    </row>
    <row r="16" spans="1:86" ht="22.5" hidden="1" customHeight="1" x14ac:dyDescent="0.25">
      <c r="A16" s="31" t="s">
        <v>104</v>
      </c>
      <c r="B16" s="32" t="s">
        <v>105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>
        <v>1686</v>
      </c>
      <c r="W16" s="23">
        <v>1361.6</v>
      </c>
      <c r="X16" s="23">
        <v>1395.64111</v>
      </c>
      <c r="Y16" s="23">
        <v>1395.64111</v>
      </c>
      <c r="Z16" s="23">
        <v>1561.7</v>
      </c>
      <c r="AA16" s="23">
        <v>1561.7</v>
      </c>
      <c r="AB16" s="23">
        <v>2059.7260799999999</v>
      </c>
      <c r="AC16" s="23">
        <v>2059.7260799999999</v>
      </c>
      <c r="AD16" s="23">
        <v>1910</v>
      </c>
      <c r="AE16" s="23">
        <v>2160</v>
      </c>
      <c r="AF16" s="23">
        <v>2398.6550400000001</v>
      </c>
      <c r="AG16" s="23">
        <v>2398.6550400000001</v>
      </c>
      <c r="AH16" s="23">
        <v>1968.3</v>
      </c>
      <c r="AI16" s="23">
        <v>2190.6999999999998</v>
      </c>
      <c r="AJ16" s="23">
        <v>2190.6999999999998</v>
      </c>
      <c r="AK16" s="23">
        <v>2048.3000000000002</v>
      </c>
      <c r="AL16" s="23">
        <v>2232.1000300000001</v>
      </c>
      <c r="AM16" s="23">
        <v>2232.1000300000001</v>
      </c>
      <c r="AN16" s="23">
        <v>2714.8</v>
      </c>
      <c r="AO16" s="23">
        <v>2714.8</v>
      </c>
      <c r="AP16" s="23">
        <v>2714.8</v>
      </c>
      <c r="AQ16" s="23"/>
      <c r="AR16" s="23"/>
      <c r="AS16" s="23"/>
      <c r="AT16" s="23">
        <v>2714.8</v>
      </c>
      <c r="AU16" s="23">
        <v>2964.8</v>
      </c>
      <c r="AV16" s="23">
        <v>3568.2235099999998</v>
      </c>
      <c r="AW16" s="23">
        <v>3568.2235099999998</v>
      </c>
      <c r="AX16" s="23">
        <v>2964.8</v>
      </c>
      <c r="AY16" s="23">
        <v>3064.8</v>
      </c>
      <c r="AZ16" s="23">
        <v>3064.8</v>
      </c>
      <c r="BA16" s="23"/>
      <c r="BB16" s="23"/>
      <c r="BC16" s="33">
        <v>3764.8</v>
      </c>
      <c r="BD16" s="34">
        <v>3764.8</v>
      </c>
      <c r="BE16" s="34">
        <v>4687.7197500000002</v>
      </c>
      <c r="BF16" s="23">
        <v>4687.7197500000002</v>
      </c>
      <c r="BG16" s="34">
        <v>3490.6</v>
      </c>
      <c r="BH16" s="23">
        <v>3545.8</v>
      </c>
      <c r="BI16" s="23">
        <v>3545.8</v>
      </c>
      <c r="BJ16" s="19">
        <v>3490.6</v>
      </c>
      <c r="BK16" s="22">
        <v>3490.6</v>
      </c>
      <c r="BL16" s="34">
        <v>4050.2</v>
      </c>
      <c r="BM16" s="34"/>
      <c r="BN16" s="34">
        <v>5136.5316599999996</v>
      </c>
      <c r="BO16" s="34">
        <v>5136.5316599999996</v>
      </c>
      <c r="BP16" s="34">
        <v>4320</v>
      </c>
      <c r="BQ16" s="23">
        <v>4406</v>
      </c>
      <c r="BR16" s="23">
        <v>4406</v>
      </c>
      <c r="BS16" s="22">
        <v>4320</v>
      </c>
      <c r="BT16" s="23">
        <v>4320</v>
      </c>
      <c r="BU16" s="23">
        <v>4320</v>
      </c>
      <c r="BV16" s="23">
        <f t="shared" si="7"/>
        <v>109.57420524125827</v>
      </c>
      <c r="BW16" s="23">
        <v>3842</v>
      </c>
      <c r="BX16" s="23" t="e">
        <f t="shared" si="8"/>
        <v>#DIV/0!</v>
      </c>
      <c r="BY16" s="23"/>
      <c r="BZ16" s="23">
        <f t="shared" si="22"/>
        <v>0</v>
      </c>
      <c r="CA16" s="34">
        <v>5304</v>
      </c>
      <c r="CB16" s="23" t="e">
        <f t="shared" si="10"/>
        <v>#DIV/0!</v>
      </c>
      <c r="CC16" s="23">
        <f t="shared" si="24"/>
        <v>120.38129822968679</v>
      </c>
      <c r="CD16" s="23">
        <v>5354</v>
      </c>
      <c r="CE16" s="23">
        <f t="shared" si="11"/>
        <v>100.94268476621417</v>
      </c>
      <c r="CF16" s="23">
        <f t="shared" si="25"/>
        <v>121.5161143894689</v>
      </c>
      <c r="CG16" s="23">
        <v>6100</v>
      </c>
      <c r="CH16" s="23">
        <f t="shared" si="26"/>
        <v>113.93350765782593</v>
      </c>
    </row>
    <row r="17" spans="1:86" ht="22.5" hidden="1" customHeight="1" x14ac:dyDescent="0.25">
      <c r="A17" s="31" t="s">
        <v>106</v>
      </c>
      <c r="B17" s="32" t="s">
        <v>107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>
        <v>42</v>
      </c>
      <c r="W17" s="23">
        <v>42</v>
      </c>
      <c r="X17" s="23">
        <v>14.16812</v>
      </c>
      <c r="Y17" s="23">
        <v>14.16812</v>
      </c>
      <c r="Z17" s="23">
        <v>15.8</v>
      </c>
      <c r="AA17" s="23">
        <v>15.8</v>
      </c>
      <c r="AB17" s="23">
        <v>19.836559999999999</v>
      </c>
      <c r="AC17" s="23">
        <v>19.836559999999999</v>
      </c>
      <c r="AD17" s="23">
        <v>16</v>
      </c>
      <c r="AE17" s="23">
        <v>16</v>
      </c>
      <c r="AF17" s="23">
        <v>17.630739999999999</v>
      </c>
      <c r="AG17" s="23">
        <v>17.630739999999999</v>
      </c>
      <c r="AH17" s="23">
        <v>17.2</v>
      </c>
      <c r="AI17" s="23">
        <v>19.2</v>
      </c>
      <c r="AJ17" s="23">
        <v>19.2</v>
      </c>
      <c r="AK17" s="23">
        <v>17.2</v>
      </c>
      <c r="AL17" s="23">
        <v>15.965590000000001</v>
      </c>
      <c r="AM17" s="23">
        <v>15.965590000000001</v>
      </c>
      <c r="AN17" s="23">
        <v>23.8</v>
      </c>
      <c r="AO17" s="23">
        <v>23.8</v>
      </c>
      <c r="AP17" s="23">
        <v>23.8</v>
      </c>
      <c r="AQ17" s="23"/>
      <c r="AR17" s="23"/>
      <c r="AS17" s="23"/>
      <c r="AT17" s="23">
        <v>23.8</v>
      </c>
      <c r="AU17" s="23">
        <v>23.8</v>
      </c>
      <c r="AV17" s="23">
        <v>25.094360000000002</v>
      </c>
      <c r="AW17" s="23">
        <v>25.094360000000002</v>
      </c>
      <c r="AX17" s="23">
        <v>25</v>
      </c>
      <c r="AY17" s="23">
        <v>25.5</v>
      </c>
      <c r="AZ17" s="23">
        <v>25.5</v>
      </c>
      <c r="BA17" s="23"/>
      <c r="BB17" s="23"/>
      <c r="BC17" s="33">
        <v>25</v>
      </c>
      <c r="BD17" s="34">
        <v>25</v>
      </c>
      <c r="BE17" s="34">
        <v>25.320959999999999</v>
      </c>
      <c r="BF17" s="23">
        <v>25.320959999999999</v>
      </c>
      <c r="BG17" s="34">
        <v>24</v>
      </c>
      <c r="BH17" s="23">
        <v>24.4</v>
      </c>
      <c r="BI17" s="23">
        <v>24.4</v>
      </c>
      <c r="BJ17" s="19">
        <v>24</v>
      </c>
      <c r="BK17" s="22">
        <v>24</v>
      </c>
      <c r="BL17" s="34">
        <v>24</v>
      </c>
      <c r="BM17" s="34"/>
      <c r="BN17" s="34">
        <v>26.82762</v>
      </c>
      <c r="BO17" s="34">
        <v>26.82762</v>
      </c>
      <c r="BP17" s="34">
        <v>26</v>
      </c>
      <c r="BQ17" s="23">
        <v>26.3</v>
      </c>
      <c r="BR17" s="23">
        <v>26.3</v>
      </c>
      <c r="BS17" s="22">
        <v>26</v>
      </c>
      <c r="BT17" s="23">
        <v>26</v>
      </c>
      <c r="BU17" s="23">
        <v>26</v>
      </c>
      <c r="BV17" s="23">
        <f t="shared" si="7"/>
        <v>105.95024833181681</v>
      </c>
      <c r="BW17" s="23">
        <v>22</v>
      </c>
      <c r="BX17" s="23" t="e">
        <f t="shared" si="8"/>
        <v>#DIV/0!</v>
      </c>
      <c r="BY17" s="23"/>
      <c r="BZ17" s="23">
        <f t="shared" si="22"/>
        <v>0</v>
      </c>
      <c r="CA17" s="34">
        <v>29</v>
      </c>
      <c r="CB17" s="23" t="e">
        <f t="shared" si="10"/>
        <v>#DIV/0!</v>
      </c>
      <c r="CC17" s="23">
        <f t="shared" si="24"/>
        <v>110.26615969581748</v>
      </c>
      <c r="CD17" s="23">
        <v>30</v>
      </c>
      <c r="CE17" s="23">
        <f t="shared" si="11"/>
        <v>103.44827586206897</v>
      </c>
      <c r="CF17" s="23">
        <f t="shared" si="25"/>
        <v>114.06844106463878</v>
      </c>
      <c r="CG17" s="23">
        <v>32</v>
      </c>
      <c r="CH17" s="23">
        <f t="shared" si="26"/>
        <v>106.66666666666667</v>
      </c>
    </row>
    <row r="18" spans="1:86" ht="22.5" hidden="1" customHeight="1" x14ac:dyDescent="0.25">
      <c r="A18" s="31" t="s">
        <v>108</v>
      </c>
      <c r="B18" s="32" t="s">
        <v>109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>
        <v>2487</v>
      </c>
      <c r="W18" s="23">
        <v>2077.3000000000002</v>
      </c>
      <c r="X18" s="23">
        <v>2257.0454599999998</v>
      </c>
      <c r="Y18" s="23">
        <v>2257.0454599999998</v>
      </c>
      <c r="Z18" s="23">
        <v>2366.1999999999998</v>
      </c>
      <c r="AA18" s="23">
        <v>2366.1999999999998</v>
      </c>
      <c r="AB18" s="23">
        <v>3004.6584200000002</v>
      </c>
      <c r="AC18" s="23">
        <v>3004.6584200000002</v>
      </c>
      <c r="AD18" s="23">
        <v>2850.3</v>
      </c>
      <c r="AE18" s="23">
        <v>3000.3</v>
      </c>
      <c r="AF18" s="23">
        <v>3204.6112899999998</v>
      </c>
      <c r="AG18" s="23">
        <v>3204.6112899999998</v>
      </c>
      <c r="AH18" s="23">
        <v>2937.6</v>
      </c>
      <c r="AI18" s="23">
        <v>3269.6</v>
      </c>
      <c r="AJ18" s="23">
        <v>3269.6</v>
      </c>
      <c r="AK18" s="23">
        <v>2787.6</v>
      </c>
      <c r="AL18" s="23">
        <v>3002.8016699999998</v>
      </c>
      <c r="AM18" s="23">
        <v>3002.8016699999998</v>
      </c>
      <c r="AN18" s="23">
        <v>4051.8</v>
      </c>
      <c r="AO18" s="23">
        <v>4051.8</v>
      </c>
      <c r="AP18" s="23">
        <v>4051.8</v>
      </c>
      <c r="AQ18" s="23"/>
      <c r="AR18" s="23"/>
      <c r="AS18" s="23"/>
      <c r="AT18" s="23">
        <v>4051.8</v>
      </c>
      <c r="AU18" s="23">
        <v>4051.8</v>
      </c>
      <c r="AV18" s="23">
        <v>4744.2783600000002</v>
      </c>
      <c r="AW18" s="23">
        <v>4744.2783600000002</v>
      </c>
      <c r="AX18" s="23">
        <v>4497</v>
      </c>
      <c r="AY18" s="23">
        <v>4805.8999999999996</v>
      </c>
      <c r="AZ18" s="23">
        <v>4805.8999999999996</v>
      </c>
      <c r="BA18" s="23"/>
      <c r="BB18" s="23"/>
      <c r="BC18" s="33">
        <v>4813.7</v>
      </c>
      <c r="BD18" s="34">
        <v>4813.7</v>
      </c>
      <c r="BE18" s="34">
        <v>5175.7719999999999</v>
      </c>
      <c r="BF18" s="23">
        <v>4637.9545900000003</v>
      </c>
      <c r="BG18" s="34">
        <v>4473.1000000000004</v>
      </c>
      <c r="BH18" s="23">
        <v>4543.8</v>
      </c>
      <c r="BI18" s="23">
        <v>4543.8</v>
      </c>
      <c r="BJ18" s="19">
        <v>4473.1000000000004</v>
      </c>
      <c r="BK18" s="22">
        <v>4473.1000000000004</v>
      </c>
      <c r="BL18" s="34">
        <v>4473.1000000000004</v>
      </c>
      <c r="BM18" s="34"/>
      <c r="BN18" s="34">
        <v>5309.0062099999996</v>
      </c>
      <c r="BO18" s="34">
        <v>5309.0062099999996</v>
      </c>
      <c r="BP18" s="34">
        <v>5570.4</v>
      </c>
      <c r="BQ18" s="23">
        <v>5682.4</v>
      </c>
      <c r="BR18" s="23">
        <v>5682.4</v>
      </c>
      <c r="BS18" s="22">
        <v>5570.4</v>
      </c>
      <c r="BT18" s="23">
        <v>5570.4</v>
      </c>
      <c r="BU18" s="23">
        <v>5570.4</v>
      </c>
      <c r="BV18" s="23">
        <f t="shared" si="7"/>
        <v>102.57419009183558</v>
      </c>
      <c r="BW18" s="23">
        <v>4036</v>
      </c>
      <c r="BX18" s="23" t="e">
        <f t="shared" si="8"/>
        <v>#DIV/0!</v>
      </c>
      <c r="BY18" s="23"/>
      <c r="BZ18" s="23">
        <f t="shared" si="22"/>
        <v>0</v>
      </c>
      <c r="CA18" s="34">
        <v>5443.2</v>
      </c>
      <c r="CB18" s="23" t="e">
        <f t="shared" si="10"/>
        <v>#DIV/0!</v>
      </c>
      <c r="CC18" s="23">
        <f t="shared" si="24"/>
        <v>95.790511051668318</v>
      </c>
      <c r="CD18" s="23">
        <v>5529.1</v>
      </c>
      <c r="CE18" s="23">
        <f t="shared" si="11"/>
        <v>101.57811581422693</v>
      </c>
      <c r="CF18" s="23">
        <f t="shared" si="25"/>
        <v>97.302196255103496</v>
      </c>
      <c r="CG18" s="23">
        <v>6260.6</v>
      </c>
      <c r="CH18" s="23">
        <f t="shared" si="26"/>
        <v>113.23000126602882</v>
      </c>
    </row>
    <row r="19" spans="1:86" ht="22.5" hidden="1" customHeight="1" x14ac:dyDescent="0.25">
      <c r="A19" s="31" t="s">
        <v>110</v>
      </c>
      <c r="B19" s="32" t="s">
        <v>111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>
        <v>-270.30268999999998</v>
      </c>
      <c r="Y19" s="23">
        <v>-270.30268999999998</v>
      </c>
      <c r="Z19" s="23"/>
      <c r="AA19" s="23"/>
      <c r="AB19" s="23">
        <v>-461.49556999999999</v>
      </c>
      <c r="AC19" s="23">
        <v>-461.49556999999999</v>
      </c>
      <c r="AD19" s="23"/>
      <c r="AE19" s="23"/>
      <c r="AF19" s="23">
        <v>-351.24898000000002</v>
      </c>
      <c r="AG19" s="23">
        <v>-351.24898000000002</v>
      </c>
      <c r="AH19" s="23"/>
      <c r="AI19" s="23"/>
      <c r="AJ19" s="23"/>
      <c r="AK19" s="23"/>
      <c r="AL19" s="23">
        <v>-411.49754000000001</v>
      </c>
      <c r="AM19" s="23">
        <v>-411.49754000000001</v>
      </c>
      <c r="AN19" s="23"/>
      <c r="AO19" s="23"/>
      <c r="AP19" s="23"/>
      <c r="AQ19" s="23"/>
      <c r="AR19" s="23"/>
      <c r="AS19" s="23"/>
      <c r="AT19" s="23">
        <v>0</v>
      </c>
      <c r="AU19" s="23">
        <v>0</v>
      </c>
      <c r="AV19" s="23">
        <v>-608.47373000000005</v>
      </c>
      <c r="AW19" s="23">
        <v>-608.47373000000005</v>
      </c>
      <c r="AX19" s="23"/>
      <c r="AY19" s="23"/>
      <c r="AZ19" s="23"/>
      <c r="BA19" s="23"/>
      <c r="BB19" s="23"/>
      <c r="BC19" s="26"/>
      <c r="BD19" s="23"/>
      <c r="BE19" s="23">
        <v>-537.81741</v>
      </c>
      <c r="BF19" s="23">
        <v>0</v>
      </c>
      <c r="BG19" s="23"/>
      <c r="BH19" s="23"/>
      <c r="BI19" s="23"/>
      <c r="BJ19" s="19"/>
      <c r="BK19" s="22"/>
      <c r="BL19" s="23"/>
      <c r="BM19" s="23"/>
      <c r="BN19" s="23">
        <v>-559.23811000000001</v>
      </c>
      <c r="BO19" s="23">
        <v>-559.23811000000001</v>
      </c>
      <c r="BP19" s="23"/>
      <c r="BQ19" s="23"/>
      <c r="BR19" s="23"/>
      <c r="BS19" s="22"/>
      <c r="BT19" s="23"/>
      <c r="BU19" s="23"/>
      <c r="BV19" s="23">
        <f t="shared" si="7"/>
        <v>103.98289449201728</v>
      </c>
      <c r="BW19" s="23">
        <v>-495.9</v>
      </c>
      <c r="BX19" s="23" t="e">
        <f t="shared" si="8"/>
        <v>#DIV/0!</v>
      </c>
      <c r="BY19" s="23"/>
      <c r="BZ19" s="23">
        <f t="shared" si="22"/>
        <v>0</v>
      </c>
      <c r="CA19" s="23"/>
      <c r="CB19" s="23" t="e">
        <f t="shared" si="10"/>
        <v>#DIV/0!</v>
      </c>
      <c r="CC19" s="23" t="e">
        <f t="shared" si="24"/>
        <v>#DIV/0!</v>
      </c>
      <c r="CD19" s="23"/>
      <c r="CE19" s="23" t="e">
        <f t="shared" si="11"/>
        <v>#DIV/0!</v>
      </c>
      <c r="CF19" s="23" t="e">
        <f t="shared" si="25"/>
        <v>#DIV/0!</v>
      </c>
      <c r="CG19" s="23"/>
      <c r="CH19" s="23" t="e">
        <f t="shared" si="26"/>
        <v>#DIV/0!</v>
      </c>
    </row>
    <row r="20" spans="1:86" s="36" customFormat="1" ht="22.5" customHeight="1" x14ac:dyDescent="0.25">
      <c r="A20" s="17" t="s">
        <v>112</v>
      </c>
      <c r="B20" s="35" t="s">
        <v>113</v>
      </c>
      <c r="C20" s="19">
        <v>0.66779999999999995</v>
      </c>
      <c r="D20" s="19">
        <v>0</v>
      </c>
      <c r="E20" s="19">
        <v>0.3</v>
      </c>
      <c r="F20" s="19">
        <v>0.3</v>
      </c>
      <c r="G20" s="19">
        <v>0</v>
      </c>
      <c r="H20" s="19">
        <v>0.5</v>
      </c>
      <c r="I20" s="19">
        <v>0.5</v>
      </c>
      <c r="J20" s="19">
        <v>0</v>
      </c>
      <c r="K20" s="19">
        <v>9.5</v>
      </c>
      <c r="L20" s="19">
        <f>9.469+0.245</f>
        <v>9.7139999999999986</v>
      </c>
      <c r="M20" s="19">
        <f>9.469+0.245</f>
        <v>9.7139999999999986</v>
      </c>
      <c r="N20" s="19">
        <v>0</v>
      </c>
      <c r="O20" s="19">
        <v>0</v>
      </c>
      <c r="P20" s="19">
        <v>0.1</v>
      </c>
      <c r="Q20" s="19">
        <v>0.1</v>
      </c>
      <c r="R20" s="19">
        <v>0</v>
      </c>
      <c r="S20" s="19">
        <v>13.2</v>
      </c>
      <c r="T20" s="19">
        <f>12.1515+1+7.5/1000</f>
        <v>13.159000000000001</v>
      </c>
      <c r="U20" s="19">
        <v>13.159000000000001</v>
      </c>
      <c r="V20" s="19">
        <v>5</v>
      </c>
      <c r="W20" s="19">
        <v>47.8</v>
      </c>
      <c r="X20" s="19">
        <v>47.876620000000003</v>
      </c>
      <c r="Y20" s="19">
        <v>47.876620000000003</v>
      </c>
      <c r="Z20" s="19">
        <v>16</v>
      </c>
      <c r="AA20" s="19">
        <v>27.8</v>
      </c>
      <c r="AB20" s="19">
        <f>20.537+0.30718+7.2731</f>
        <v>28.117279999999997</v>
      </c>
      <c r="AC20" s="19">
        <f>20.537+0.30718+7.2731</f>
        <v>28.117279999999997</v>
      </c>
      <c r="AD20" s="19">
        <v>10</v>
      </c>
      <c r="AE20" s="19">
        <v>10</v>
      </c>
      <c r="AF20" s="19">
        <v>11.41854</v>
      </c>
      <c r="AG20" s="19">
        <v>11.41854</v>
      </c>
      <c r="AH20" s="19">
        <v>15</v>
      </c>
      <c r="AI20" s="19">
        <v>16</v>
      </c>
      <c r="AJ20" s="19">
        <v>18</v>
      </c>
      <c r="AK20" s="19">
        <v>3</v>
      </c>
      <c r="AL20" s="19">
        <v>2.6288100000000001</v>
      </c>
      <c r="AM20" s="19">
        <v>2.6288100000000001</v>
      </c>
      <c r="AN20" s="19">
        <v>5</v>
      </c>
      <c r="AO20" s="19">
        <v>5</v>
      </c>
      <c r="AP20" s="19">
        <v>5</v>
      </c>
      <c r="AQ20" s="19">
        <v>5</v>
      </c>
      <c r="AR20" s="19">
        <v>84.4</v>
      </c>
      <c r="AS20" s="19">
        <v>84.4</v>
      </c>
      <c r="AT20" s="19">
        <v>78.400000000000006</v>
      </c>
      <c r="AU20" s="19">
        <v>85.4</v>
      </c>
      <c r="AV20" s="19">
        <f>83.5525+1.60452+0.12859</f>
        <v>85.285609999999991</v>
      </c>
      <c r="AW20" s="19">
        <v>85.285610000000005</v>
      </c>
      <c r="AX20" s="19">
        <v>5</v>
      </c>
      <c r="AY20" s="19">
        <v>5</v>
      </c>
      <c r="AZ20" s="19">
        <v>5</v>
      </c>
      <c r="BA20" s="19">
        <v>5</v>
      </c>
      <c r="BB20" s="19">
        <v>5</v>
      </c>
      <c r="BC20" s="22">
        <v>76.599999999999994</v>
      </c>
      <c r="BD20" s="19">
        <v>76.599999999999994</v>
      </c>
      <c r="BE20" s="19">
        <v>76.665229999999994</v>
      </c>
      <c r="BF20" s="19">
        <v>76.665229999999994</v>
      </c>
      <c r="BG20" s="19">
        <v>12</v>
      </c>
      <c r="BH20" s="19">
        <v>12</v>
      </c>
      <c r="BI20" s="19">
        <v>12</v>
      </c>
      <c r="BJ20" s="19">
        <v>12</v>
      </c>
      <c r="BK20" s="22">
        <v>12</v>
      </c>
      <c r="BL20" s="19">
        <v>46.3</v>
      </c>
      <c r="BM20" s="19">
        <v>3.8</v>
      </c>
      <c r="BN20" s="19">
        <v>46.682580000000002</v>
      </c>
      <c r="BO20" s="19">
        <v>46.682580000000002</v>
      </c>
      <c r="BP20" s="19">
        <v>12</v>
      </c>
      <c r="BQ20" s="19">
        <v>12</v>
      </c>
      <c r="BR20" s="19">
        <v>12</v>
      </c>
      <c r="BS20" s="22">
        <v>12</v>
      </c>
      <c r="BT20" s="19">
        <v>29</v>
      </c>
      <c r="BU20" s="19">
        <v>29</v>
      </c>
      <c r="BV20" s="23">
        <f t="shared" si="7"/>
        <v>60.891462792194076</v>
      </c>
      <c r="BW20" s="19">
        <v>30.4</v>
      </c>
      <c r="BX20" s="23">
        <f t="shared" si="8"/>
        <v>71.867612293144205</v>
      </c>
      <c r="BY20" s="19">
        <v>42.3</v>
      </c>
      <c r="BZ20" s="23">
        <f t="shared" si="22"/>
        <v>90.611958465020564</v>
      </c>
      <c r="CA20" s="19">
        <v>20</v>
      </c>
      <c r="CB20" s="23">
        <f t="shared" si="10"/>
        <v>47.281323877068559</v>
      </c>
      <c r="CC20" s="23">
        <f t="shared" si="24"/>
        <v>166.66666666666669</v>
      </c>
      <c r="CD20" s="19">
        <v>22</v>
      </c>
      <c r="CE20" s="23">
        <f t="shared" si="11"/>
        <v>110.00000000000001</v>
      </c>
      <c r="CF20" s="23">
        <f t="shared" si="25"/>
        <v>183.33333333333331</v>
      </c>
      <c r="CG20" s="19">
        <v>25</v>
      </c>
      <c r="CH20" s="23">
        <f t="shared" si="26"/>
        <v>113.63636363636364</v>
      </c>
    </row>
    <row r="21" spans="1:86" ht="22.5" customHeight="1" x14ac:dyDescent="0.25">
      <c r="A21" s="17" t="s">
        <v>114</v>
      </c>
      <c r="B21" s="18" t="s">
        <v>115</v>
      </c>
      <c r="C21" s="19">
        <f t="shared" ref="C21:AG21" si="30">C28+C22</f>
        <v>242.87862000000001</v>
      </c>
      <c r="D21" s="19">
        <f t="shared" si="30"/>
        <v>694</v>
      </c>
      <c r="E21" s="19">
        <f t="shared" si="30"/>
        <v>694</v>
      </c>
      <c r="F21" s="19">
        <f t="shared" si="30"/>
        <v>400.93340999999998</v>
      </c>
      <c r="G21" s="19">
        <f t="shared" si="30"/>
        <v>632</v>
      </c>
      <c r="H21" s="19">
        <f t="shared" si="30"/>
        <v>764.3</v>
      </c>
      <c r="I21" s="19">
        <f t="shared" si="30"/>
        <v>769.46163999999987</v>
      </c>
      <c r="J21" s="19">
        <f t="shared" si="30"/>
        <v>387</v>
      </c>
      <c r="K21" s="19">
        <f t="shared" si="30"/>
        <v>531</v>
      </c>
      <c r="L21" s="19">
        <f t="shared" si="30"/>
        <v>515.18920000000003</v>
      </c>
      <c r="M21" s="19">
        <f t="shared" si="30"/>
        <v>506.52123</v>
      </c>
      <c r="N21" s="19">
        <f t="shared" si="30"/>
        <v>792</v>
      </c>
      <c r="O21" s="19">
        <f t="shared" si="30"/>
        <v>792</v>
      </c>
      <c r="P21" s="19">
        <f t="shared" si="30"/>
        <v>754.62914000000001</v>
      </c>
      <c r="Q21" s="19">
        <f t="shared" si="30"/>
        <v>754.62914000000001</v>
      </c>
      <c r="R21" s="19">
        <f t="shared" si="30"/>
        <v>545</v>
      </c>
      <c r="S21" s="19">
        <f t="shared" si="30"/>
        <v>1260.0999999999999</v>
      </c>
      <c r="T21" s="19">
        <f t="shared" si="30"/>
        <v>1260.34384</v>
      </c>
      <c r="U21" s="19">
        <f t="shared" si="30"/>
        <v>1260.34384</v>
      </c>
      <c r="V21" s="19">
        <f t="shared" si="30"/>
        <v>1070</v>
      </c>
      <c r="W21" s="19">
        <f t="shared" si="30"/>
        <v>1992</v>
      </c>
      <c r="X21" s="19">
        <f t="shared" si="30"/>
        <v>2006.4058199999999</v>
      </c>
      <c r="Y21" s="19">
        <f t="shared" si="30"/>
        <v>1998.1884700000001</v>
      </c>
      <c r="Z21" s="19">
        <f t="shared" si="30"/>
        <v>1137</v>
      </c>
      <c r="AA21" s="19">
        <f t="shared" si="30"/>
        <v>1982.3</v>
      </c>
      <c r="AB21" s="19">
        <f t="shared" si="30"/>
        <v>2107.1220399999997</v>
      </c>
      <c r="AC21" s="19">
        <f t="shared" si="30"/>
        <v>2217.1391400000002</v>
      </c>
      <c r="AD21" s="19">
        <f t="shared" si="30"/>
        <v>1510</v>
      </c>
      <c r="AE21" s="19">
        <f t="shared" si="30"/>
        <v>1965</v>
      </c>
      <c r="AF21" s="19">
        <f t="shared" si="30"/>
        <v>2058.3388800000002</v>
      </c>
      <c r="AG21" s="19">
        <f t="shared" si="30"/>
        <v>2252.4068400000001</v>
      </c>
      <c r="AH21" s="19">
        <f t="shared" ref="AH21:AP21" si="31">AH28+AH22+AH25</f>
        <v>1987</v>
      </c>
      <c r="AI21" s="19">
        <f t="shared" si="31"/>
        <v>1996.2</v>
      </c>
      <c r="AJ21" s="19">
        <f t="shared" si="31"/>
        <v>2010.2</v>
      </c>
      <c r="AK21" s="19">
        <f t="shared" si="31"/>
        <v>1142.4000000000001</v>
      </c>
      <c r="AL21" s="19">
        <f t="shared" si="31"/>
        <v>1176.8465700000002</v>
      </c>
      <c r="AM21" s="19">
        <f t="shared" si="31"/>
        <v>1538.4100100000003</v>
      </c>
      <c r="AN21" s="19">
        <f t="shared" si="31"/>
        <v>1658.2</v>
      </c>
      <c r="AO21" s="19">
        <f t="shared" si="31"/>
        <v>1658.2</v>
      </c>
      <c r="AP21" s="19">
        <f t="shared" si="31"/>
        <v>1658.2</v>
      </c>
      <c r="AQ21" s="19">
        <v>1658.2</v>
      </c>
      <c r="AR21" s="19">
        <v>1658.2</v>
      </c>
      <c r="AS21" s="19">
        <v>1658.2</v>
      </c>
      <c r="AT21" s="19">
        <f t="shared" ref="AT21:AZ21" si="32">AT28+AT22+AT25</f>
        <v>1658.2</v>
      </c>
      <c r="AU21" s="19">
        <f t="shared" si="32"/>
        <v>2101.1999999999998</v>
      </c>
      <c r="AV21" s="19">
        <f t="shared" si="32"/>
        <v>2150.1361299999999</v>
      </c>
      <c r="AW21" s="19">
        <f>AW28+AW22+AW25</f>
        <v>2026.85113</v>
      </c>
      <c r="AX21" s="19">
        <f t="shared" si="32"/>
        <v>1695</v>
      </c>
      <c r="AY21" s="19">
        <f t="shared" si="32"/>
        <v>1710</v>
      </c>
      <c r="AZ21" s="19">
        <f t="shared" si="32"/>
        <v>1720</v>
      </c>
      <c r="BA21" s="19">
        <f>BA28+BA22+BA25-1</f>
        <v>1695</v>
      </c>
      <c r="BB21" s="19">
        <f>BB28+BB22+BB25-2</f>
        <v>1695</v>
      </c>
      <c r="BC21" s="22">
        <f t="shared" ref="BC21:BW21" si="33">BC28+BC22+BC25</f>
        <v>1695</v>
      </c>
      <c r="BD21" s="19">
        <f t="shared" si="33"/>
        <v>2541</v>
      </c>
      <c r="BE21" s="19">
        <f t="shared" si="33"/>
        <v>2756.8085599999999</v>
      </c>
      <c r="BF21" s="19">
        <f t="shared" si="33"/>
        <v>2855.0708100000002</v>
      </c>
      <c r="BG21" s="19">
        <f t="shared" si="33"/>
        <v>1742</v>
      </c>
      <c r="BH21" s="19">
        <f t="shared" si="33"/>
        <v>1765</v>
      </c>
      <c r="BI21" s="19">
        <f t="shared" si="33"/>
        <v>1783</v>
      </c>
      <c r="BJ21" s="19">
        <f t="shared" si="33"/>
        <v>1742</v>
      </c>
      <c r="BK21" s="19">
        <f t="shared" si="33"/>
        <v>1742</v>
      </c>
      <c r="BL21" s="19">
        <f t="shared" si="33"/>
        <v>2449.5</v>
      </c>
      <c r="BM21" s="19">
        <f t="shared" si="33"/>
        <v>2778.8</v>
      </c>
      <c r="BN21" s="19">
        <f t="shared" si="33"/>
        <v>2742.75288</v>
      </c>
      <c r="BO21" s="19">
        <f t="shared" si="33"/>
        <v>3323.4261499999998</v>
      </c>
      <c r="BP21" s="19">
        <f t="shared" si="33"/>
        <v>2088</v>
      </c>
      <c r="BQ21" s="19">
        <f t="shared" si="33"/>
        <v>2145</v>
      </c>
      <c r="BR21" s="19">
        <f t="shared" si="33"/>
        <v>2193</v>
      </c>
      <c r="BS21" s="19">
        <f t="shared" si="33"/>
        <v>2088</v>
      </c>
      <c r="BT21" s="19">
        <f t="shared" si="33"/>
        <v>2088</v>
      </c>
      <c r="BU21" s="19">
        <f t="shared" si="33"/>
        <v>2088</v>
      </c>
      <c r="BV21" s="23">
        <f t="shared" si="7"/>
        <v>99.490146678882923</v>
      </c>
      <c r="BW21" s="19">
        <f t="shared" si="33"/>
        <v>874.6</v>
      </c>
      <c r="BX21" s="23">
        <f t="shared" si="8"/>
        <v>46.250661025912216</v>
      </c>
      <c r="BY21" s="19">
        <f>BY28+BY22+BY25</f>
        <v>1891</v>
      </c>
      <c r="BZ21" s="23">
        <f t="shared" si="22"/>
        <v>68.945329117656414</v>
      </c>
      <c r="CA21" s="19">
        <f>CA28+CA22+CA25</f>
        <v>2225</v>
      </c>
      <c r="CB21" s="23">
        <f t="shared" si="10"/>
        <v>117.66261237440507</v>
      </c>
      <c r="CC21" s="23">
        <f t="shared" si="24"/>
        <v>103.72960372960374</v>
      </c>
      <c r="CD21" s="19">
        <f>CD28+CD22+CD25</f>
        <v>2239</v>
      </c>
      <c r="CE21" s="23">
        <f t="shared" si="11"/>
        <v>100.62921348314606</v>
      </c>
      <c r="CF21" s="23">
        <f t="shared" si="25"/>
        <v>102.09758321933424</v>
      </c>
      <c r="CG21" s="19">
        <f>CG28+CG22+CG25</f>
        <v>2254</v>
      </c>
      <c r="CH21" s="23">
        <f t="shared" si="26"/>
        <v>100.66994193836534</v>
      </c>
    </row>
    <row r="22" spans="1:86" ht="29.25" customHeight="1" x14ac:dyDescent="0.25">
      <c r="A22" s="17" t="s">
        <v>116</v>
      </c>
      <c r="B22" s="18" t="s">
        <v>117</v>
      </c>
      <c r="C22" s="19">
        <f t="shared" ref="C22:AP22" si="34">C23</f>
        <v>112.69597</v>
      </c>
      <c r="D22" s="19">
        <f t="shared" si="34"/>
        <v>365</v>
      </c>
      <c r="E22" s="19">
        <f t="shared" si="34"/>
        <v>365</v>
      </c>
      <c r="F22" s="19">
        <f t="shared" si="34"/>
        <v>242.02986000000001</v>
      </c>
      <c r="G22" s="19">
        <f t="shared" si="34"/>
        <v>300</v>
      </c>
      <c r="H22" s="19">
        <f t="shared" si="34"/>
        <v>605</v>
      </c>
      <c r="I22" s="19">
        <f t="shared" si="34"/>
        <v>610.1957799999999</v>
      </c>
      <c r="J22" s="19">
        <f t="shared" si="34"/>
        <v>250</v>
      </c>
      <c r="K22" s="19">
        <f t="shared" si="34"/>
        <v>400</v>
      </c>
      <c r="L22" s="19">
        <f>L23</f>
        <v>400.00060999999999</v>
      </c>
      <c r="M22" s="19">
        <f>M23</f>
        <v>400.00060999999999</v>
      </c>
      <c r="N22" s="19">
        <f t="shared" si="34"/>
        <v>620</v>
      </c>
      <c r="O22" s="19">
        <f t="shared" si="34"/>
        <v>620</v>
      </c>
      <c r="P22" s="19">
        <f>P23</f>
        <v>391.67778999999996</v>
      </c>
      <c r="Q22" s="19">
        <f>Q23</f>
        <v>391.67778999999996</v>
      </c>
      <c r="R22" s="19">
        <f t="shared" si="34"/>
        <v>400</v>
      </c>
      <c r="S22" s="19">
        <f t="shared" si="34"/>
        <v>256.7</v>
      </c>
      <c r="T22" s="19">
        <f>T23</f>
        <v>256.75448999999998</v>
      </c>
      <c r="U22" s="19">
        <f>U23</f>
        <v>256.75448999999998</v>
      </c>
      <c r="V22" s="19">
        <f t="shared" si="34"/>
        <v>410</v>
      </c>
      <c r="W22" s="19">
        <f t="shared" si="34"/>
        <v>510.6</v>
      </c>
      <c r="X22" s="19">
        <f>X23</f>
        <v>517.86298999999997</v>
      </c>
      <c r="Y22" s="19">
        <f>Y23</f>
        <v>652.49690999999996</v>
      </c>
      <c r="Z22" s="19">
        <f t="shared" si="34"/>
        <v>392</v>
      </c>
      <c r="AA22" s="19">
        <f t="shared" si="34"/>
        <v>1144</v>
      </c>
      <c r="AB22" s="19">
        <f>AB23</f>
        <v>1155.4379999999999</v>
      </c>
      <c r="AC22" s="19">
        <f>AC23</f>
        <v>1276.95272</v>
      </c>
      <c r="AD22" s="19">
        <f t="shared" si="34"/>
        <v>460</v>
      </c>
      <c r="AE22" s="19">
        <f t="shared" si="34"/>
        <v>1130</v>
      </c>
      <c r="AF22" s="19">
        <f t="shared" si="34"/>
        <v>1161.23918</v>
      </c>
      <c r="AG22" s="19">
        <f t="shared" si="34"/>
        <v>1345.4595200000001</v>
      </c>
      <c r="AH22" s="19">
        <f t="shared" si="34"/>
        <v>890</v>
      </c>
      <c r="AI22" s="19">
        <f t="shared" si="34"/>
        <v>896</v>
      </c>
      <c r="AJ22" s="19">
        <f t="shared" si="34"/>
        <v>902</v>
      </c>
      <c r="AK22" s="19">
        <f t="shared" si="34"/>
        <v>485</v>
      </c>
      <c r="AL22" s="19">
        <f t="shared" si="34"/>
        <v>500.55209000000002</v>
      </c>
      <c r="AM22" s="19">
        <f t="shared" si="34"/>
        <v>677.34630000000004</v>
      </c>
      <c r="AN22" s="19">
        <f t="shared" si="34"/>
        <v>670</v>
      </c>
      <c r="AO22" s="19">
        <f t="shared" si="34"/>
        <v>670</v>
      </c>
      <c r="AP22" s="19">
        <f t="shared" si="34"/>
        <v>670</v>
      </c>
      <c r="AQ22" s="19">
        <v>670</v>
      </c>
      <c r="AR22" s="19">
        <v>670</v>
      </c>
      <c r="AS22" s="19">
        <v>670</v>
      </c>
      <c r="AT22" s="19">
        <f>AT23</f>
        <v>670</v>
      </c>
      <c r="AU22" s="19">
        <f>AU23</f>
        <v>850</v>
      </c>
      <c r="AV22" s="19">
        <f>AV23</f>
        <v>877.85059000000001</v>
      </c>
      <c r="AW22" s="19">
        <f>AW23</f>
        <v>1000.12789</v>
      </c>
      <c r="AX22" s="19">
        <f t="shared" ref="AX22:BG22" si="35">AX23</f>
        <v>730</v>
      </c>
      <c r="AY22" s="19">
        <f>AY23</f>
        <v>740</v>
      </c>
      <c r="AZ22" s="19">
        <f>AZ23</f>
        <v>745</v>
      </c>
      <c r="BA22" s="19">
        <f t="shared" si="35"/>
        <v>731</v>
      </c>
      <c r="BB22" s="19">
        <f t="shared" si="35"/>
        <v>732</v>
      </c>
      <c r="BC22" s="22">
        <f t="shared" si="35"/>
        <v>730</v>
      </c>
      <c r="BD22" s="19">
        <f t="shared" si="35"/>
        <v>1480</v>
      </c>
      <c r="BE22" s="19">
        <f>BE23</f>
        <v>1612.6362300000001</v>
      </c>
      <c r="BF22" s="19">
        <f>BF23</f>
        <v>1859.7434000000001</v>
      </c>
      <c r="BG22" s="19">
        <f t="shared" si="35"/>
        <v>830</v>
      </c>
      <c r="BH22" s="19">
        <f>BH23</f>
        <v>840</v>
      </c>
      <c r="BI22" s="19">
        <f>BI23</f>
        <v>850</v>
      </c>
      <c r="BJ22" s="19">
        <f t="shared" ref="BJ22:BM22" si="36">BJ23</f>
        <v>830</v>
      </c>
      <c r="BK22" s="19">
        <f t="shared" si="36"/>
        <v>830</v>
      </c>
      <c r="BL22" s="19">
        <f t="shared" si="36"/>
        <v>1639.6</v>
      </c>
      <c r="BM22" s="19">
        <f t="shared" si="36"/>
        <v>1847</v>
      </c>
      <c r="BN22" s="19">
        <f>BN23</f>
        <v>1861.07908</v>
      </c>
      <c r="BO22" s="19">
        <f>BO23</f>
        <v>1730.0552499999999</v>
      </c>
      <c r="BP22" s="19">
        <f t="shared" ref="BP22" si="37">BP23</f>
        <v>1350</v>
      </c>
      <c r="BQ22" s="19">
        <f>BQ23</f>
        <v>1400</v>
      </c>
      <c r="BR22" s="19">
        <f>BR23</f>
        <v>1440</v>
      </c>
      <c r="BS22" s="19">
        <f>BS23</f>
        <v>1350</v>
      </c>
      <c r="BT22" s="19">
        <f>BT23</f>
        <v>1350</v>
      </c>
      <c r="BU22" s="19">
        <f>BU23</f>
        <v>1350</v>
      </c>
      <c r="BV22" s="23">
        <f t="shared" si="7"/>
        <v>115.40600697033825</v>
      </c>
      <c r="BW22" s="19">
        <f>BW23</f>
        <v>934.5</v>
      </c>
      <c r="BX22" s="23">
        <f t="shared" si="8"/>
        <v>54.970588235294116</v>
      </c>
      <c r="BY22" s="19">
        <v>1700</v>
      </c>
      <c r="BZ22" s="23">
        <f t="shared" si="22"/>
        <v>91.34485569522387</v>
      </c>
      <c r="CA22" s="19">
        <f>CA23</f>
        <v>1500</v>
      </c>
      <c r="CB22" s="23">
        <f t="shared" si="10"/>
        <v>88.235294117647058</v>
      </c>
      <c r="CC22" s="23">
        <f t="shared" si="24"/>
        <v>107.14285714285714</v>
      </c>
      <c r="CD22" s="19">
        <f>CD23</f>
        <v>1510</v>
      </c>
      <c r="CE22" s="23">
        <f t="shared" si="11"/>
        <v>100.66666666666666</v>
      </c>
      <c r="CF22" s="23">
        <f t="shared" si="25"/>
        <v>104.86111111111111</v>
      </c>
      <c r="CG22" s="19">
        <f>CG23</f>
        <v>1520</v>
      </c>
      <c r="CH22" s="23">
        <f t="shared" si="26"/>
        <v>100.66225165562915</v>
      </c>
    </row>
    <row r="23" spans="1:86" ht="22.5" hidden="1" customHeight="1" x14ac:dyDescent="0.25">
      <c r="A23" s="9" t="s">
        <v>118</v>
      </c>
      <c r="B23" s="37" t="s">
        <v>119</v>
      </c>
      <c r="C23" s="23">
        <v>112.69597</v>
      </c>
      <c r="D23" s="23">
        <v>365</v>
      </c>
      <c r="E23" s="23">
        <v>365</v>
      </c>
      <c r="F23" s="23">
        <f>236.03484+5.99502</f>
        <v>242.02986000000001</v>
      </c>
      <c r="G23" s="23">
        <v>300</v>
      </c>
      <c r="H23" s="23">
        <v>605</v>
      </c>
      <c r="I23" s="23">
        <f>592.69351+17.50227</f>
        <v>610.1957799999999</v>
      </c>
      <c r="J23" s="23">
        <v>250</v>
      </c>
      <c r="K23" s="23">
        <v>400</v>
      </c>
      <c r="L23" s="23">
        <f>390.60427+9.39634</f>
        <v>400.00060999999999</v>
      </c>
      <c r="M23" s="23">
        <f>390.60427+9.39634</f>
        <v>400.00060999999999</v>
      </c>
      <c r="N23" s="23">
        <v>620</v>
      </c>
      <c r="O23" s="23">
        <v>620</v>
      </c>
      <c r="P23" s="23">
        <f>381.00937+10.03475+0.63367</f>
        <v>391.67778999999996</v>
      </c>
      <c r="Q23" s="23">
        <f>381.00937+10.03475+0.63367</f>
        <v>391.67778999999996</v>
      </c>
      <c r="R23" s="23">
        <v>400</v>
      </c>
      <c r="S23" s="23">
        <v>256.7</v>
      </c>
      <c r="T23" s="23">
        <f>1.36/1000+243.82709+12.29829+0.62775</f>
        <v>256.75448999999998</v>
      </c>
      <c r="U23" s="23">
        <v>256.75448999999998</v>
      </c>
      <c r="V23" s="23">
        <v>410</v>
      </c>
      <c r="W23" s="23">
        <v>510.6</v>
      </c>
      <c r="X23" s="23">
        <v>517.86298999999997</v>
      </c>
      <c r="Y23" s="23">
        <v>652.49690999999996</v>
      </c>
      <c r="Z23" s="23">
        <v>392</v>
      </c>
      <c r="AA23" s="23">
        <v>1144</v>
      </c>
      <c r="AB23" s="23">
        <f>1147.24199+8.19601</f>
        <v>1155.4379999999999</v>
      </c>
      <c r="AC23" s="23">
        <v>1276.95272</v>
      </c>
      <c r="AD23" s="23">
        <v>460</v>
      </c>
      <c r="AE23" s="23">
        <v>1130</v>
      </c>
      <c r="AF23" s="23">
        <v>1161.23918</v>
      </c>
      <c r="AG23" s="23">
        <v>1345.4595200000001</v>
      </c>
      <c r="AH23" s="23">
        <v>890</v>
      </c>
      <c r="AI23" s="23">
        <v>896</v>
      </c>
      <c r="AJ23" s="23">
        <v>902</v>
      </c>
      <c r="AK23" s="23">
        <v>485</v>
      </c>
      <c r="AL23" s="23">
        <v>500.55209000000002</v>
      </c>
      <c r="AM23" s="23">
        <v>677.34630000000004</v>
      </c>
      <c r="AN23" s="23">
        <v>670</v>
      </c>
      <c r="AO23" s="23">
        <v>670</v>
      </c>
      <c r="AP23" s="23">
        <v>670</v>
      </c>
      <c r="AQ23" s="23"/>
      <c r="AR23" s="23"/>
      <c r="AS23" s="23"/>
      <c r="AT23" s="23">
        <v>670</v>
      </c>
      <c r="AU23" s="23">
        <v>850</v>
      </c>
      <c r="AV23" s="23">
        <f>887.92015-10.06956</f>
        <v>877.85059000000001</v>
      </c>
      <c r="AW23" s="23">
        <v>1000.12789</v>
      </c>
      <c r="AX23" s="23">
        <v>730</v>
      </c>
      <c r="AY23" s="23">
        <v>740</v>
      </c>
      <c r="AZ23" s="23">
        <v>745</v>
      </c>
      <c r="BA23" s="23">
        <v>731</v>
      </c>
      <c r="BB23" s="23">
        <v>732</v>
      </c>
      <c r="BC23" s="23">
        <v>730</v>
      </c>
      <c r="BD23" s="23">
        <v>1480</v>
      </c>
      <c r="BE23" s="23">
        <v>1612.6362300000001</v>
      </c>
      <c r="BF23" s="23">
        <v>1859.7434000000001</v>
      </c>
      <c r="BG23" s="23">
        <v>830</v>
      </c>
      <c r="BH23" s="23">
        <v>840</v>
      </c>
      <c r="BI23" s="23">
        <v>850</v>
      </c>
      <c r="BJ23" s="19">
        <v>830</v>
      </c>
      <c r="BK23" s="22">
        <v>830</v>
      </c>
      <c r="BL23" s="23">
        <v>1639.6</v>
      </c>
      <c r="BM23" s="23">
        <v>1847</v>
      </c>
      <c r="BN23" s="23">
        <v>1861.07908</v>
      </c>
      <c r="BO23" s="23">
        <v>1730.0552499999999</v>
      </c>
      <c r="BP23" s="23">
        <v>1350</v>
      </c>
      <c r="BQ23" s="23">
        <v>1400</v>
      </c>
      <c r="BR23" s="23">
        <v>1440</v>
      </c>
      <c r="BS23" s="22">
        <v>1350</v>
      </c>
      <c r="BT23" s="23">
        <v>1350</v>
      </c>
      <c r="BU23" s="23">
        <v>1350</v>
      </c>
      <c r="BV23" s="23">
        <f t="shared" si="7"/>
        <v>115.40600697033825</v>
      </c>
      <c r="BW23" s="23">
        <v>934.5</v>
      </c>
      <c r="BX23" s="23" t="e">
        <f t="shared" si="8"/>
        <v>#DIV/0!</v>
      </c>
      <c r="BY23" s="23"/>
      <c r="BZ23" s="23">
        <f t="shared" si="22"/>
        <v>0</v>
      </c>
      <c r="CA23" s="23">
        <v>1500</v>
      </c>
      <c r="CB23" s="23" t="e">
        <f t="shared" si="10"/>
        <v>#DIV/0!</v>
      </c>
      <c r="CC23" s="23">
        <f t="shared" si="24"/>
        <v>107.14285714285714</v>
      </c>
      <c r="CD23" s="23">
        <v>1510</v>
      </c>
      <c r="CE23" s="23">
        <f t="shared" si="11"/>
        <v>100.66666666666666</v>
      </c>
      <c r="CF23" s="23">
        <f t="shared" si="25"/>
        <v>104.86111111111111</v>
      </c>
      <c r="CG23" s="23">
        <v>1520</v>
      </c>
      <c r="CH23" s="23">
        <f t="shared" si="26"/>
        <v>100.66225165562915</v>
      </c>
    </row>
    <row r="24" spans="1:86" ht="22.5" hidden="1" customHeight="1" x14ac:dyDescent="0.25">
      <c r="A24" s="9"/>
      <c r="B24" s="37" t="s">
        <v>120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>
        <v>-277.09775000000002</v>
      </c>
      <c r="AD24" s="23"/>
      <c r="AE24" s="23"/>
      <c r="AF24" s="23"/>
      <c r="AG24" s="23">
        <v>-17.506799999999998</v>
      </c>
      <c r="AH24" s="23"/>
      <c r="AI24" s="23"/>
      <c r="AJ24" s="23"/>
      <c r="AK24" s="23"/>
      <c r="AL24" s="23"/>
      <c r="AM24" s="23">
        <v>-150.89265</v>
      </c>
      <c r="AN24" s="23"/>
      <c r="AO24" s="23"/>
      <c r="AP24" s="23"/>
      <c r="AQ24" s="23"/>
      <c r="AR24" s="23"/>
      <c r="AS24" s="23"/>
      <c r="AT24" s="23"/>
      <c r="AU24" s="23"/>
      <c r="AV24" s="23"/>
      <c r="AW24" s="23">
        <v>-21.101310000000002</v>
      </c>
      <c r="AX24" s="23"/>
      <c r="AY24" s="23"/>
      <c r="AZ24" s="23"/>
      <c r="BA24" s="23"/>
      <c r="BB24" s="23"/>
      <c r="BC24" s="23"/>
      <c r="BD24" s="23"/>
      <c r="BE24" s="23"/>
      <c r="BF24" s="23">
        <v>-4.0508600000000001</v>
      </c>
      <c r="BG24" s="23"/>
      <c r="BH24" s="23"/>
      <c r="BI24" s="23"/>
      <c r="BJ24" s="19"/>
      <c r="BK24" s="22"/>
      <c r="BL24" s="23"/>
      <c r="BM24" s="23"/>
      <c r="BN24" s="23"/>
      <c r="BO24" s="23">
        <v>-2.4590000000000001</v>
      </c>
      <c r="BP24" s="23"/>
      <c r="BQ24" s="23"/>
      <c r="BR24" s="23"/>
      <c r="BS24" s="22"/>
      <c r="BT24" s="23"/>
      <c r="BU24" s="23"/>
      <c r="BV24" s="23" t="e">
        <f t="shared" si="7"/>
        <v>#DIV/0!</v>
      </c>
      <c r="BW24" s="23"/>
      <c r="BX24" s="23" t="e">
        <f t="shared" si="8"/>
        <v>#DIV/0!</v>
      </c>
      <c r="BY24" s="23"/>
      <c r="BZ24" s="23" t="e">
        <f t="shared" si="22"/>
        <v>#DIV/0!</v>
      </c>
      <c r="CA24" s="23"/>
      <c r="CB24" s="23" t="e">
        <f t="shared" si="10"/>
        <v>#DIV/0!</v>
      </c>
      <c r="CC24" s="23" t="e">
        <f t="shared" si="24"/>
        <v>#DIV/0!</v>
      </c>
      <c r="CD24" s="23"/>
      <c r="CE24" s="23" t="e">
        <f t="shared" si="11"/>
        <v>#DIV/0!</v>
      </c>
      <c r="CF24" s="23" t="e">
        <f t="shared" si="25"/>
        <v>#DIV/0!</v>
      </c>
      <c r="CG24" s="23"/>
      <c r="CH24" s="23" t="e">
        <f t="shared" si="26"/>
        <v>#DIV/0!</v>
      </c>
    </row>
    <row r="25" spans="1:86" ht="22.5" customHeight="1" x14ac:dyDescent="0.25">
      <c r="A25" s="17" t="s">
        <v>121</v>
      </c>
      <c r="B25" s="18" t="s">
        <v>122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19">
        <v>88.2</v>
      </c>
      <c r="AI25" s="19">
        <v>88.2</v>
      </c>
      <c r="AJ25" s="19">
        <v>88.2</v>
      </c>
      <c r="AK25" s="19">
        <f>AK26+AK27</f>
        <v>108.2</v>
      </c>
      <c r="AL25" s="19">
        <f>AL26+AL27</f>
        <v>110.76734</v>
      </c>
      <c r="AM25" s="19">
        <f>AM26+AM27</f>
        <v>110.76734</v>
      </c>
      <c r="AN25" s="19">
        <v>88.2</v>
      </c>
      <c r="AO25" s="19">
        <v>88.2</v>
      </c>
      <c r="AP25" s="19">
        <v>88.2</v>
      </c>
      <c r="AQ25" s="19">
        <v>88.2</v>
      </c>
      <c r="AR25" s="19">
        <v>88.2</v>
      </c>
      <c r="AS25" s="19">
        <f>88.2</f>
        <v>88.2</v>
      </c>
      <c r="AT25" s="19">
        <f t="shared" ref="AT25:BA25" si="38">AT26+AT27</f>
        <v>88.2</v>
      </c>
      <c r="AU25" s="19">
        <f t="shared" si="38"/>
        <v>105.2</v>
      </c>
      <c r="AV25" s="19">
        <f t="shared" si="38"/>
        <v>116.14733</v>
      </c>
      <c r="AW25" s="19">
        <f>AW26+AW27</f>
        <v>116.14733</v>
      </c>
      <c r="AX25" s="19">
        <f t="shared" si="38"/>
        <v>95</v>
      </c>
      <c r="AY25" s="19">
        <f t="shared" si="38"/>
        <v>95</v>
      </c>
      <c r="AZ25" s="19">
        <f t="shared" si="38"/>
        <v>95</v>
      </c>
      <c r="BA25" s="19">
        <f t="shared" si="38"/>
        <v>95</v>
      </c>
      <c r="BB25" s="19">
        <v>95</v>
      </c>
      <c r="BC25" s="19">
        <f t="shared" ref="BC25:BL25" si="39">BC26+BC27</f>
        <v>95</v>
      </c>
      <c r="BD25" s="19">
        <f t="shared" si="39"/>
        <v>95</v>
      </c>
      <c r="BE25" s="19">
        <f t="shared" si="39"/>
        <v>117.67567</v>
      </c>
      <c r="BF25" s="19">
        <f t="shared" si="39"/>
        <v>117.67567</v>
      </c>
      <c r="BG25" s="19">
        <f t="shared" si="39"/>
        <v>102</v>
      </c>
      <c r="BH25" s="19">
        <f t="shared" si="39"/>
        <v>105</v>
      </c>
      <c r="BI25" s="19">
        <f t="shared" si="39"/>
        <v>108</v>
      </c>
      <c r="BJ25" s="19">
        <f t="shared" si="39"/>
        <v>102</v>
      </c>
      <c r="BK25" s="19">
        <f t="shared" si="39"/>
        <v>102</v>
      </c>
      <c r="BL25" s="19">
        <f t="shared" si="39"/>
        <v>102</v>
      </c>
      <c r="BM25" s="19">
        <v>121.8</v>
      </c>
      <c r="BN25" s="19">
        <f t="shared" ref="BN25:BW25" si="40">BN26+BN27</f>
        <v>120.97854</v>
      </c>
      <c r="BO25" s="19">
        <f t="shared" si="40"/>
        <v>120.97854</v>
      </c>
      <c r="BP25" s="19">
        <f t="shared" si="40"/>
        <v>118</v>
      </c>
      <c r="BQ25" s="19">
        <f t="shared" si="40"/>
        <v>120</v>
      </c>
      <c r="BR25" s="19">
        <f t="shared" si="40"/>
        <v>123</v>
      </c>
      <c r="BS25" s="19">
        <f t="shared" si="40"/>
        <v>118</v>
      </c>
      <c r="BT25" s="19">
        <f t="shared" si="40"/>
        <v>118</v>
      </c>
      <c r="BU25" s="19">
        <f t="shared" si="40"/>
        <v>118</v>
      </c>
      <c r="BV25" s="23">
        <f t="shared" si="7"/>
        <v>102.80675691075309</v>
      </c>
      <c r="BW25" s="19">
        <f t="shared" si="40"/>
        <v>54.7</v>
      </c>
      <c r="BX25" s="23">
        <f t="shared" si="8"/>
        <v>46.355932203389834</v>
      </c>
      <c r="BY25" s="19">
        <f>BY26+BY27</f>
        <v>118</v>
      </c>
      <c r="BZ25" s="23">
        <f t="shared" si="22"/>
        <v>97.537960038201817</v>
      </c>
      <c r="CA25" s="19">
        <f>CA26+CA27</f>
        <v>120</v>
      </c>
      <c r="CB25" s="23">
        <f t="shared" si="10"/>
        <v>101.69491525423729</v>
      </c>
      <c r="CC25" s="23">
        <f t="shared" si="24"/>
        <v>100</v>
      </c>
      <c r="CD25" s="19">
        <f>CD26+CD27</f>
        <v>122</v>
      </c>
      <c r="CE25" s="23">
        <f t="shared" si="11"/>
        <v>101.66666666666666</v>
      </c>
      <c r="CF25" s="23">
        <f t="shared" si="25"/>
        <v>99.1869918699187</v>
      </c>
      <c r="CG25" s="19">
        <f>CG26+CG27</f>
        <v>124</v>
      </c>
      <c r="CH25" s="23">
        <f t="shared" si="26"/>
        <v>101.63934426229508</v>
      </c>
    </row>
    <row r="26" spans="1:86" ht="22.5" hidden="1" customHeight="1" x14ac:dyDescent="0.25">
      <c r="A26" s="9" t="s">
        <v>123</v>
      </c>
      <c r="B26" s="38" t="s">
        <v>124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>
        <v>3.2</v>
      </c>
      <c r="AI26" s="23">
        <v>3.2</v>
      </c>
      <c r="AJ26" s="23">
        <v>3.2</v>
      </c>
      <c r="AK26" s="23">
        <v>6.2</v>
      </c>
      <c r="AL26" s="23">
        <v>7.0842599999999996</v>
      </c>
      <c r="AM26" s="23">
        <v>7.0842599999999996</v>
      </c>
      <c r="AN26" s="23">
        <v>6</v>
      </c>
      <c r="AO26" s="23">
        <v>82.2</v>
      </c>
      <c r="AP26" s="23">
        <v>82.2</v>
      </c>
      <c r="AQ26" s="23">
        <v>82.2</v>
      </c>
      <c r="AR26" s="23">
        <v>82.2</v>
      </c>
      <c r="AS26" s="23"/>
      <c r="AT26" s="23">
        <v>6</v>
      </c>
      <c r="AU26" s="23">
        <v>8</v>
      </c>
      <c r="AV26" s="23">
        <f>8.56296+0.16141-0.08944</f>
        <v>8.6349300000000007</v>
      </c>
      <c r="AW26" s="23">
        <v>8.6349300000000007</v>
      </c>
      <c r="AX26" s="23">
        <v>9</v>
      </c>
      <c r="AY26" s="23">
        <v>9</v>
      </c>
      <c r="AZ26" s="23">
        <v>9</v>
      </c>
      <c r="BA26" s="23">
        <v>9</v>
      </c>
      <c r="BB26" s="23">
        <v>9</v>
      </c>
      <c r="BC26" s="23">
        <v>9</v>
      </c>
      <c r="BD26" s="23">
        <v>7.7</v>
      </c>
      <c r="BE26" s="23">
        <v>8.0746599999999997</v>
      </c>
      <c r="BF26" s="23">
        <v>8.0746599999999997</v>
      </c>
      <c r="BG26" s="23">
        <v>9</v>
      </c>
      <c r="BH26" s="23">
        <v>10</v>
      </c>
      <c r="BI26" s="23">
        <v>10</v>
      </c>
      <c r="BJ26" s="19">
        <v>9</v>
      </c>
      <c r="BK26" s="22">
        <v>9</v>
      </c>
      <c r="BL26" s="23">
        <v>9</v>
      </c>
      <c r="BM26" s="23"/>
      <c r="BN26" s="23">
        <v>5.6866000000000003</v>
      </c>
      <c r="BO26" s="23">
        <v>5.6866000000000003</v>
      </c>
      <c r="BP26" s="23">
        <v>9</v>
      </c>
      <c r="BQ26" s="23">
        <v>10</v>
      </c>
      <c r="BR26" s="23">
        <v>10</v>
      </c>
      <c r="BS26" s="22">
        <v>9</v>
      </c>
      <c r="BT26" s="23">
        <v>9</v>
      </c>
      <c r="BU26" s="23">
        <v>9</v>
      </c>
      <c r="BV26" s="23">
        <f t="shared" si="7"/>
        <v>70.425256295621125</v>
      </c>
      <c r="BW26" s="23">
        <v>5.5</v>
      </c>
      <c r="BX26" s="23">
        <f t="shared" si="8"/>
        <v>61.111111111111114</v>
      </c>
      <c r="BY26" s="23">
        <v>9</v>
      </c>
      <c r="BZ26" s="23">
        <f t="shared" si="22"/>
        <v>158.26680265888226</v>
      </c>
      <c r="CA26" s="23">
        <v>9</v>
      </c>
      <c r="CB26" s="23">
        <f t="shared" si="10"/>
        <v>100</v>
      </c>
      <c r="CC26" s="23">
        <f t="shared" si="24"/>
        <v>90</v>
      </c>
      <c r="CD26" s="23">
        <v>10</v>
      </c>
      <c r="CE26" s="23">
        <f t="shared" si="11"/>
        <v>111.11111111111111</v>
      </c>
      <c r="CF26" s="23">
        <f t="shared" si="25"/>
        <v>100</v>
      </c>
      <c r="CG26" s="23">
        <v>10</v>
      </c>
      <c r="CH26" s="23">
        <f t="shared" si="26"/>
        <v>100</v>
      </c>
    </row>
    <row r="27" spans="1:86" ht="22.5" hidden="1" customHeight="1" x14ac:dyDescent="0.25">
      <c r="A27" s="9" t="s">
        <v>125</v>
      </c>
      <c r="B27" s="37" t="s">
        <v>126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>
        <v>85</v>
      </c>
      <c r="AI27" s="23">
        <v>85</v>
      </c>
      <c r="AJ27" s="23">
        <v>85</v>
      </c>
      <c r="AK27" s="23">
        <v>102</v>
      </c>
      <c r="AL27" s="23">
        <v>103.68308</v>
      </c>
      <c r="AM27" s="23">
        <v>103.68308</v>
      </c>
      <c r="AN27" s="23">
        <v>82.8</v>
      </c>
      <c r="AO27" s="23">
        <v>6</v>
      </c>
      <c r="AP27" s="23">
        <v>6</v>
      </c>
      <c r="AQ27" s="23">
        <v>6</v>
      </c>
      <c r="AR27" s="23">
        <v>6</v>
      </c>
      <c r="AS27" s="23"/>
      <c r="AT27" s="23">
        <v>82.2</v>
      </c>
      <c r="AU27" s="23">
        <v>97.2</v>
      </c>
      <c r="AV27" s="23">
        <f>107.63453-0.12213</f>
        <v>107.5124</v>
      </c>
      <c r="AW27" s="23">
        <v>107.5124</v>
      </c>
      <c r="AX27" s="23">
        <v>86</v>
      </c>
      <c r="AY27" s="23">
        <v>86</v>
      </c>
      <c r="AZ27" s="23">
        <v>86</v>
      </c>
      <c r="BA27" s="23">
        <v>86</v>
      </c>
      <c r="BB27" s="23">
        <v>86</v>
      </c>
      <c r="BC27" s="23">
        <v>86</v>
      </c>
      <c r="BD27" s="23">
        <v>87.3</v>
      </c>
      <c r="BE27" s="23">
        <v>109.60101</v>
      </c>
      <c r="BF27" s="23">
        <v>109.60101</v>
      </c>
      <c r="BG27" s="23">
        <v>93</v>
      </c>
      <c r="BH27" s="23">
        <v>95</v>
      </c>
      <c r="BI27" s="23">
        <v>98</v>
      </c>
      <c r="BJ27" s="19">
        <v>93</v>
      </c>
      <c r="BK27" s="22">
        <v>93</v>
      </c>
      <c r="BL27" s="23">
        <v>93</v>
      </c>
      <c r="BM27" s="23"/>
      <c r="BN27" s="23">
        <v>115.29194</v>
      </c>
      <c r="BO27" s="23">
        <v>115.29194</v>
      </c>
      <c r="BP27" s="23">
        <v>109</v>
      </c>
      <c r="BQ27" s="23">
        <v>110</v>
      </c>
      <c r="BR27" s="23">
        <v>113</v>
      </c>
      <c r="BS27" s="22">
        <v>109</v>
      </c>
      <c r="BT27" s="23">
        <v>109</v>
      </c>
      <c r="BU27" s="23">
        <v>109</v>
      </c>
      <c r="BV27" s="23">
        <f t="shared" si="7"/>
        <v>105.19240652983032</v>
      </c>
      <c r="BW27" s="23">
        <v>49.2</v>
      </c>
      <c r="BX27" s="23">
        <f t="shared" si="8"/>
        <v>45.137614678899084</v>
      </c>
      <c r="BY27" s="23">
        <v>109</v>
      </c>
      <c r="BZ27" s="23">
        <f t="shared" si="22"/>
        <v>94.542602024044356</v>
      </c>
      <c r="CA27" s="23">
        <v>111</v>
      </c>
      <c r="CB27" s="23">
        <f t="shared" si="10"/>
        <v>101.83486238532109</v>
      </c>
      <c r="CC27" s="23">
        <f t="shared" si="24"/>
        <v>100.90909090909091</v>
      </c>
      <c r="CD27" s="23">
        <v>112</v>
      </c>
      <c r="CE27" s="23">
        <f t="shared" si="11"/>
        <v>100.90090090090089</v>
      </c>
      <c r="CF27" s="23">
        <f t="shared" si="25"/>
        <v>99.115044247787608</v>
      </c>
      <c r="CG27" s="23">
        <v>114</v>
      </c>
      <c r="CH27" s="23">
        <f t="shared" si="26"/>
        <v>101.78571428571428</v>
      </c>
    </row>
    <row r="28" spans="1:86" ht="22.5" customHeight="1" x14ac:dyDescent="0.25">
      <c r="A28" s="17" t="s">
        <v>127</v>
      </c>
      <c r="B28" s="18" t="s">
        <v>128</v>
      </c>
      <c r="C28" s="19">
        <f t="shared" ref="C28:AP28" si="41">C29+C31</f>
        <v>130.18265</v>
      </c>
      <c r="D28" s="19">
        <f t="shared" si="41"/>
        <v>329</v>
      </c>
      <c r="E28" s="19">
        <f t="shared" si="41"/>
        <v>329</v>
      </c>
      <c r="F28" s="19">
        <f t="shared" si="41"/>
        <v>158.90355</v>
      </c>
      <c r="G28" s="19">
        <f t="shared" si="41"/>
        <v>332</v>
      </c>
      <c r="H28" s="19">
        <f t="shared" si="41"/>
        <v>159.30000000000001</v>
      </c>
      <c r="I28" s="19">
        <f t="shared" si="41"/>
        <v>159.26586</v>
      </c>
      <c r="J28" s="19">
        <f t="shared" si="41"/>
        <v>137</v>
      </c>
      <c r="K28" s="19">
        <f t="shared" si="41"/>
        <v>131</v>
      </c>
      <c r="L28" s="19">
        <f t="shared" si="41"/>
        <v>115.18858999999999</v>
      </c>
      <c r="M28" s="19">
        <f t="shared" si="41"/>
        <v>106.52061999999999</v>
      </c>
      <c r="N28" s="19">
        <f t="shared" si="41"/>
        <v>172</v>
      </c>
      <c r="O28" s="19">
        <f t="shared" si="41"/>
        <v>172</v>
      </c>
      <c r="P28" s="19">
        <f t="shared" si="41"/>
        <v>362.95135000000005</v>
      </c>
      <c r="Q28" s="19">
        <f t="shared" si="41"/>
        <v>362.95135000000005</v>
      </c>
      <c r="R28" s="19">
        <f t="shared" si="41"/>
        <v>145</v>
      </c>
      <c r="S28" s="19">
        <f t="shared" si="41"/>
        <v>1003.4</v>
      </c>
      <c r="T28" s="19">
        <f t="shared" si="41"/>
        <v>1003.58935</v>
      </c>
      <c r="U28" s="19">
        <f t="shared" si="41"/>
        <v>1003.58935</v>
      </c>
      <c r="V28" s="19">
        <f t="shared" si="41"/>
        <v>660</v>
      </c>
      <c r="W28" s="19">
        <f t="shared" si="41"/>
        <v>1481.4</v>
      </c>
      <c r="X28" s="19">
        <f t="shared" si="41"/>
        <v>1488.5428300000001</v>
      </c>
      <c r="Y28" s="19">
        <f t="shared" si="41"/>
        <v>1345.69156</v>
      </c>
      <c r="Z28" s="19">
        <f t="shared" si="41"/>
        <v>745</v>
      </c>
      <c r="AA28" s="19">
        <f t="shared" si="41"/>
        <v>838.3</v>
      </c>
      <c r="AB28" s="19">
        <f t="shared" si="41"/>
        <v>951.68403999999998</v>
      </c>
      <c r="AC28" s="19">
        <f t="shared" si="41"/>
        <v>940.18642</v>
      </c>
      <c r="AD28" s="19">
        <f t="shared" si="41"/>
        <v>1050</v>
      </c>
      <c r="AE28" s="19">
        <f t="shared" si="41"/>
        <v>835</v>
      </c>
      <c r="AF28" s="19">
        <f t="shared" si="41"/>
        <v>897.09969999999998</v>
      </c>
      <c r="AG28" s="19">
        <f t="shared" si="41"/>
        <v>906.94731999999999</v>
      </c>
      <c r="AH28" s="19">
        <f t="shared" si="41"/>
        <v>1008.8</v>
      </c>
      <c r="AI28" s="19">
        <f t="shared" si="41"/>
        <v>1012</v>
      </c>
      <c r="AJ28" s="19">
        <f t="shared" si="41"/>
        <v>1020</v>
      </c>
      <c r="AK28" s="19">
        <f t="shared" si="41"/>
        <v>549.20000000000005</v>
      </c>
      <c r="AL28" s="19">
        <f t="shared" si="41"/>
        <v>565.52714000000003</v>
      </c>
      <c r="AM28" s="19">
        <f t="shared" si="41"/>
        <v>750.29637000000002</v>
      </c>
      <c r="AN28" s="19">
        <f t="shared" si="41"/>
        <v>900</v>
      </c>
      <c r="AO28" s="19">
        <f t="shared" si="41"/>
        <v>900</v>
      </c>
      <c r="AP28" s="19">
        <f t="shared" si="41"/>
        <v>900</v>
      </c>
      <c r="AQ28" s="19">
        <v>900</v>
      </c>
      <c r="AR28" s="19">
        <v>900</v>
      </c>
      <c r="AS28" s="19">
        <v>900</v>
      </c>
      <c r="AT28" s="19">
        <f>AT29+AT31</f>
        <v>900</v>
      </c>
      <c r="AU28" s="19">
        <f>AU29+AU31</f>
        <v>1146</v>
      </c>
      <c r="AV28" s="19">
        <f>AV29+AV31</f>
        <v>1156.1382100000001</v>
      </c>
      <c r="AW28" s="19">
        <f>AW29+AW31</f>
        <v>910.57591000000002</v>
      </c>
      <c r="AX28" s="19">
        <f t="shared" ref="AX28" si="42">AX29+AX31</f>
        <v>870</v>
      </c>
      <c r="AY28" s="19">
        <f>AY29+AY31</f>
        <v>875</v>
      </c>
      <c r="AZ28" s="19">
        <f>AZ29+AZ31</f>
        <v>880</v>
      </c>
      <c r="BA28" s="19">
        <v>870</v>
      </c>
      <c r="BB28" s="19">
        <v>870</v>
      </c>
      <c r="BC28" s="19">
        <f t="shared" ref="BC28:BD28" si="43">BC29+BC31</f>
        <v>870</v>
      </c>
      <c r="BD28" s="19">
        <f t="shared" si="43"/>
        <v>966</v>
      </c>
      <c r="BE28" s="19">
        <f>BE29+BE31</f>
        <v>1026.49666</v>
      </c>
      <c r="BF28" s="19">
        <f>BF29+BF31</f>
        <v>877.65174000000002</v>
      </c>
      <c r="BG28" s="19">
        <f t="shared" ref="BG28" si="44">BG29+BG31</f>
        <v>810</v>
      </c>
      <c r="BH28" s="19">
        <f>BH29+BH31</f>
        <v>820</v>
      </c>
      <c r="BI28" s="19">
        <f>BI29+BI31</f>
        <v>825</v>
      </c>
      <c r="BJ28" s="19">
        <f t="shared" ref="BJ28:BM28" si="45">BJ29+BJ31</f>
        <v>810</v>
      </c>
      <c r="BK28" s="19">
        <f t="shared" si="45"/>
        <v>810</v>
      </c>
      <c r="BL28" s="19">
        <f t="shared" si="45"/>
        <v>707.9</v>
      </c>
      <c r="BM28" s="19">
        <f t="shared" si="45"/>
        <v>810</v>
      </c>
      <c r="BN28" s="19">
        <f>BN29+BN31</f>
        <v>760.69525999999996</v>
      </c>
      <c r="BO28" s="19">
        <f>BO29+BO31</f>
        <v>1472.3923599999998</v>
      </c>
      <c r="BP28" s="19">
        <f t="shared" ref="BP28" si="46">BP29+BP31</f>
        <v>620</v>
      </c>
      <c r="BQ28" s="19">
        <f>BQ29+BQ31</f>
        <v>625</v>
      </c>
      <c r="BR28" s="19">
        <f>BR29+BR31</f>
        <v>630</v>
      </c>
      <c r="BS28" s="19">
        <f>BS29+BS31</f>
        <v>620</v>
      </c>
      <c r="BT28" s="19">
        <f>BT29+BT31</f>
        <v>620</v>
      </c>
      <c r="BU28" s="19">
        <f>BU29+BU31</f>
        <v>620</v>
      </c>
      <c r="BV28" s="23">
        <f t="shared" si="7"/>
        <v>74.10596543002876</v>
      </c>
      <c r="BW28" s="19">
        <f>BW29+BW31</f>
        <v>-114.6</v>
      </c>
      <c r="BX28" s="23">
        <f t="shared" si="8"/>
        <v>-156.98630136986301</v>
      </c>
      <c r="BY28" s="19">
        <f>BY29+BY31</f>
        <v>73</v>
      </c>
      <c r="BZ28" s="23">
        <f t="shared" si="22"/>
        <v>9.596484142677582</v>
      </c>
      <c r="CA28" s="19">
        <f t="shared" ref="CA28" si="47">CA29+CA31</f>
        <v>605</v>
      </c>
      <c r="CB28" s="23">
        <f t="shared" si="10"/>
        <v>828.76712328767132</v>
      </c>
      <c r="CC28" s="23">
        <f t="shared" si="24"/>
        <v>96.8</v>
      </c>
      <c r="CD28" s="19">
        <f>CD29+CD31</f>
        <v>607</v>
      </c>
      <c r="CE28" s="23">
        <f t="shared" si="11"/>
        <v>100.33057851239668</v>
      </c>
      <c r="CF28" s="23">
        <f t="shared" si="25"/>
        <v>96.349206349206355</v>
      </c>
      <c r="CG28" s="19">
        <f>CG29+CG31</f>
        <v>610</v>
      </c>
      <c r="CH28" s="23">
        <f t="shared" si="26"/>
        <v>100.49423393739703</v>
      </c>
    </row>
    <row r="29" spans="1:86" ht="22.5" hidden="1" customHeight="1" x14ac:dyDescent="0.25">
      <c r="A29" s="9" t="s">
        <v>129</v>
      </c>
      <c r="B29" s="37" t="s">
        <v>130</v>
      </c>
      <c r="C29" s="23">
        <v>88.737409999999997</v>
      </c>
      <c r="D29" s="23">
        <v>220</v>
      </c>
      <c r="E29" s="23">
        <v>220</v>
      </c>
      <c r="F29" s="23">
        <f>90.45329+4.81949</f>
        <v>95.272779999999997</v>
      </c>
      <c r="G29" s="23">
        <v>220</v>
      </c>
      <c r="H29" s="23">
        <v>77.3</v>
      </c>
      <c r="I29" s="23">
        <f>64.63312+12.02417</f>
        <v>76.657290000000003</v>
      </c>
      <c r="J29" s="23">
        <v>65</v>
      </c>
      <c r="K29" s="23">
        <v>74</v>
      </c>
      <c r="L29" s="23">
        <f>80.99856-7.33059</f>
        <v>73.667969999999997</v>
      </c>
      <c r="M29" s="23">
        <v>65</v>
      </c>
      <c r="N29" s="23">
        <v>65</v>
      </c>
      <c r="O29" s="23">
        <v>65</v>
      </c>
      <c r="P29" s="23">
        <f>54.49812+0.31688</f>
        <v>54.814999999999998</v>
      </c>
      <c r="Q29" s="23">
        <f>54.49812+0.31688</f>
        <v>54.814999999999998</v>
      </c>
      <c r="R29" s="23">
        <v>55</v>
      </c>
      <c r="S29" s="23">
        <v>785</v>
      </c>
      <c r="T29" s="23">
        <f>778.50683+4.26091+2</f>
        <v>784.76774</v>
      </c>
      <c r="U29" s="23">
        <v>784.76774</v>
      </c>
      <c r="V29" s="23">
        <v>320</v>
      </c>
      <c r="W29" s="23">
        <v>990.4</v>
      </c>
      <c r="X29" s="23">
        <v>991.35937000000001</v>
      </c>
      <c r="Y29" s="23">
        <v>891.26621</v>
      </c>
      <c r="Z29" s="23">
        <v>482</v>
      </c>
      <c r="AA29" s="23">
        <v>461.3</v>
      </c>
      <c r="AB29" s="23">
        <f>514.343+32.9154</f>
        <v>547.25839999999994</v>
      </c>
      <c r="AC29" s="23">
        <v>587.34355000000005</v>
      </c>
      <c r="AD29" s="23">
        <v>683</v>
      </c>
      <c r="AE29" s="23">
        <v>514</v>
      </c>
      <c r="AF29" s="23">
        <v>555.67566999999997</v>
      </c>
      <c r="AG29" s="23">
        <v>554.93598999999995</v>
      </c>
      <c r="AH29" s="23">
        <v>639.79999999999995</v>
      </c>
      <c r="AI29" s="23">
        <v>642</v>
      </c>
      <c r="AJ29" s="23">
        <v>648</v>
      </c>
      <c r="AK29" s="23">
        <v>318</v>
      </c>
      <c r="AL29" s="23">
        <v>231.15287000000001</v>
      </c>
      <c r="AM29" s="23">
        <v>554.93568000000005</v>
      </c>
      <c r="AN29" s="23">
        <v>555.70000000000005</v>
      </c>
      <c r="AO29" s="23">
        <v>555.70000000000005</v>
      </c>
      <c r="AP29" s="23">
        <v>555.70000000000005</v>
      </c>
      <c r="AQ29" s="23"/>
      <c r="AR29" s="23"/>
      <c r="AS29" s="23"/>
      <c r="AT29" s="23">
        <v>344.3</v>
      </c>
      <c r="AU29" s="23">
        <v>925.7</v>
      </c>
      <c r="AV29" s="23">
        <f>913.52942+13.69826</f>
        <v>927.22767999999996</v>
      </c>
      <c r="AW29" s="23">
        <v>571.48896999999999</v>
      </c>
      <c r="AX29" s="23">
        <v>536</v>
      </c>
      <c r="AY29" s="23">
        <v>538</v>
      </c>
      <c r="AZ29" s="23">
        <v>540</v>
      </c>
      <c r="BA29" s="23">
        <v>536</v>
      </c>
      <c r="BB29" s="23">
        <v>536</v>
      </c>
      <c r="BC29" s="23">
        <v>536</v>
      </c>
      <c r="BD29" s="23">
        <v>702</v>
      </c>
      <c r="BE29" s="23">
        <v>741.89428999999996</v>
      </c>
      <c r="BF29" s="23">
        <v>555.89389000000006</v>
      </c>
      <c r="BG29" s="23">
        <v>518</v>
      </c>
      <c r="BH29" s="23">
        <v>520</v>
      </c>
      <c r="BI29" s="23">
        <v>525</v>
      </c>
      <c r="BJ29" s="19">
        <v>518</v>
      </c>
      <c r="BK29" s="22">
        <v>518</v>
      </c>
      <c r="BL29" s="23">
        <v>415.9</v>
      </c>
      <c r="BM29" s="23">
        <v>518</v>
      </c>
      <c r="BN29" s="23">
        <v>435.28104000000002</v>
      </c>
      <c r="BO29" s="23">
        <v>1144.88222</v>
      </c>
      <c r="BP29" s="23">
        <v>223.2</v>
      </c>
      <c r="BQ29" s="23">
        <v>224</v>
      </c>
      <c r="BR29" s="23">
        <v>225</v>
      </c>
      <c r="BS29" s="22">
        <v>396.8</v>
      </c>
      <c r="BT29" s="23">
        <v>396.8</v>
      </c>
      <c r="BU29" s="23">
        <v>396.8</v>
      </c>
      <c r="BV29" s="23">
        <f t="shared" si="7"/>
        <v>58.671571660161995</v>
      </c>
      <c r="BW29" s="23">
        <v>-214.6</v>
      </c>
      <c r="BX29" s="23">
        <f t="shared" si="8"/>
        <v>143.06666666666666</v>
      </c>
      <c r="BY29" s="23">
        <v>-150</v>
      </c>
      <c r="BZ29" s="23">
        <f t="shared" si="22"/>
        <v>-34.460494764485951</v>
      </c>
      <c r="CA29" s="23">
        <v>295</v>
      </c>
      <c r="CB29" s="23">
        <f t="shared" si="10"/>
        <v>-196.66666666666666</v>
      </c>
      <c r="CC29" s="23">
        <f t="shared" si="24"/>
        <v>131.69642857142858</v>
      </c>
      <c r="CD29" s="23">
        <v>295</v>
      </c>
      <c r="CE29" s="23">
        <f t="shared" si="11"/>
        <v>100</v>
      </c>
      <c r="CF29" s="23">
        <f t="shared" si="25"/>
        <v>131.11111111111111</v>
      </c>
      <c r="CG29" s="23">
        <v>295</v>
      </c>
      <c r="CH29" s="23">
        <f t="shared" si="26"/>
        <v>100</v>
      </c>
    </row>
    <row r="30" spans="1:86" ht="22.5" hidden="1" customHeight="1" x14ac:dyDescent="0.25">
      <c r="A30" s="9" t="s">
        <v>131</v>
      </c>
      <c r="B30" s="3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>
        <v>-4.1947700000000001</v>
      </c>
      <c r="AN30" s="23"/>
      <c r="AO30" s="23"/>
      <c r="AP30" s="23"/>
      <c r="AQ30" s="23"/>
      <c r="AR30" s="23"/>
      <c r="AS30" s="23"/>
      <c r="AT30" s="23"/>
      <c r="AU30" s="23"/>
      <c r="AV30" s="23"/>
      <c r="AW30" s="23">
        <v>0</v>
      </c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19"/>
      <c r="BK30" s="22"/>
      <c r="BL30" s="23"/>
      <c r="BM30" s="23"/>
      <c r="BN30" s="23"/>
      <c r="BO30" s="23"/>
      <c r="BP30" s="23"/>
      <c r="BQ30" s="23"/>
      <c r="BR30" s="23"/>
      <c r="BS30" s="22"/>
      <c r="BT30" s="23"/>
      <c r="BU30" s="23"/>
      <c r="BV30" s="23" t="e">
        <f t="shared" si="7"/>
        <v>#DIV/0!</v>
      </c>
      <c r="BW30" s="23"/>
      <c r="BX30" s="23" t="e">
        <f t="shared" si="8"/>
        <v>#DIV/0!</v>
      </c>
      <c r="BY30" s="23"/>
      <c r="BZ30" s="23" t="e">
        <f t="shared" si="22"/>
        <v>#DIV/0!</v>
      </c>
      <c r="CA30" s="23"/>
      <c r="CB30" s="23" t="e">
        <f t="shared" si="10"/>
        <v>#DIV/0!</v>
      </c>
      <c r="CC30" s="23" t="e">
        <f t="shared" si="24"/>
        <v>#DIV/0!</v>
      </c>
      <c r="CD30" s="23"/>
      <c r="CE30" s="23" t="e">
        <f t="shared" si="11"/>
        <v>#DIV/0!</v>
      </c>
      <c r="CF30" s="23" t="e">
        <f t="shared" si="25"/>
        <v>#DIV/0!</v>
      </c>
      <c r="CG30" s="23"/>
      <c r="CH30" s="23" t="e">
        <f t="shared" si="26"/>
        <v>#DIV/0!</v>
      </c>
    </row>
    <row r="31" spans="1:86" ht="22.5" hidden="1" customHeight="1" x14ac:dyDescent="0.25">
      <c r="A31" s="9" t="s">
        <v>132</v>
      </c>
      <c r="B31" s="37" t="s">
        <v>133</v>
      </c>
      <c r="C31" s="23">
        <v>41.445239999999998</v>
      </c>
      <c r="D31" s="23">
        <v>109</v>
      </c>
      <c r="E31" s="23">
        <v>109</v>
      </c>
      <c r="F31" s="23">
        <f>59.64011+0.53558+3.4+0.05508</f>
        <v>63.630769999999998</v>
      </c>
      <c r="G31" s="23">
        <v>112</v>
      </c>
      <c r="H31" s="23">
        <v>82</v>
      </c>
      <c r="I31" s="23">
        <f>70.28456+7.32401+5</f>
        <v>82.60857</v>
      </c>
      <c r="J31" s="23">
        <v>72</v>
      </c>
      <c r="K31" s="23">
        <v>57</v>
      </c>
      <c r="L31" s="23">
        <f>29.89935+0.30887+11.3124</f>
        <v>41.520619999999994</v>
      </c>
      <c r="M31" s="23">
        <f>29.89935+0.30887+11.3124</f>
        <v>41.520619999999994</v>
      </c>
      <c r="N31" s="23">
        <v>107</v>
      </c>
      <c r="O31" s="23">
        <v>107</v>
      </c>
      <c r="P31" s="23">
        <f>0.31688+292.83273+14.98674</f>
        <v>308.13635000000005</v>
      </c>
      <c r="Q31" s="23">
        <f>0.31688+292.83273+14.98674</f>
        <v>308.13635000000005</v>
      </c>
      <c r="R31" s="23">
        <v>90</v>
      </c>
      <c r="S31" s="23">
        <v>218.4</v>
      </c>
      <c r="T31" s="23">
        <f>-1.36/1000+199.55109+6.52082+1.0474+11.70366</f>
        <v>218.82160999999996</v>
      </c>
      <c r="U31" s="23">
        <v>218.82160999999999</v>
      </c>
      <c r="V31" s="23">
        <v>340</v>
      </c>
      <c r="W31" s="23">
        <v>491</v>
      </c>
      <c r="X31" s="23">
        <v>497.18346000000003</v>
      </c>
      <c r="Y31" s="23">
        <v>454.42534999999998</v>
      </c>
      <c r="Z31" s="23">
        <v>263</v>
      </c>
      <c r="AA31" s="23">
        <v>377</v>
      </c>
      <c r="AB31" s="23">
        <f>398.17367+6.23097+0.021</f>
        <v>404.42564000000004</v>
      </c>
      <c r="AC31" s="23">
        <v>352.84287</v>
      </c>
      <c r="AD31" s="23">
        <v>367</v>
      </c>
      <c r="AE31" s="23">
        <v>321</v>
      </c>
      <c r="AF31" s="23">
        <v>341.42403000000002</v>
      </c>
      <c r="AG31" s="23">
        <v>352.01132999999999</v>
      </c>
      <c r="AH31" s="23">
        <v>369</v>
      </c>
      <c r="AI31" s="23">
        <v>370</v>
      </c>
      <c r="AJ31" s="23">
        <v>372</v>
      </c>
      <c r="AK31" s="23">
        <v>231.2</v>
      </c>
      <c r="AL31" s="23">
        <v>334.37427000000002</v>
      </c>
      <c r="AM31" s="23">
        <v>195.36069000000001</v>
      </c>
      <c r="AN31" s="23">
        <v>344.3</v>
      </c>
      <c r="AO31" s="23">
        <v>344.3</v>
      </c>
      <c r="AP31" s="23">
        <v>344.3</v>
      </c>
      <c r="AQ31" s="23"/>
      <c r="AR31" s="23"/>
      <c r="AS31" s="23"/>
      <c r="AT31" s="23">
        <v>555.70000000000005</v>
      </c>
      <c r="AU31" s="23">
        <v>220.3</v>
      </c>
      <c r="AV31" s="23">
        <f>232.32768-3.41715</f>
        <v>228.91052999999999</v>
      </c>
      <c r="AW31" s="23">
        <v>339.08694000000003</v>
      </c>
      <c r="AX31" s="23">
        <v>334</v>
      </c>
      <c r="AY31" s="23">
        <v>337</v>
      </c>
      <c r="AZ31" s="23">
        <v>340</v>
      </c>
      <c r="BA31" s="23">
        <v>334</v>
      </c>
      <c r="BB31" s="23">
        <v>334</v>
      </c>
      <c r="BC31" s="23">
        <v>334</v>
      </c>
      <c r="BD31" s="23">
        <v>264</v>
      </c>
      <c r="BE31" s="23">
        <v>284.60237000000001</v>
      </c>
      <c r="BF31" s="23">
        <v>321.75785000000002</v>
      </c>
      <c r="BG31" s="23">
        <v>292</v>
      </c>
      <c r="BH31" s="23">
        <v>300</v>
      </c>
      <c r="BI31" s="23">
        <v>300</v>
      </c>
      <c r="BJ31" s="19">
        <v>292</v>
      </c>
      <c r="BK31" s="22">
        <v>292</v>
      </c>
      <c r="BL31" s="23">
        <v>292</v>
      </c>
      <c r="BM31" s="23">
        <v>292</v>
      </c>
      <c r="BN31" s="23">
        <v>325.41422</v>
      </c>
      <c r="BO31" s="23">
        <v>327.51013999999998</v>
      </c>
      <c r="BP31" s="23">
        <v>396.8</v>
      </c>
      <c r="BQ31" s="23">
        <v>401</v>
      </c>
      <c r="BR31" s="23">
        <v>405</v>
      </c>
      <c r="BS31" s="22">
        <v>223.2</v>
      </c>
      <c r="BT31" s="23">
        <v>223.2</v>
      </c>
      <c r="BU31" s="23">
        <v>223.2</v>
      </c>
      <c r="BV31" s="23">
        <f t="shared" si="7"/>
        <v>114.33995437212978</v>
      </c>
      <c r="BW31" s="23">
        <v>100</v>
      </c>
      <c r="BX31" s="23">
        <f t="shared" si="8"/>
        <v>44.843049327354265</v>
      </c>
      <c r="BY31" s="23">
        <v>223</v>
      </c>
      <c r="BZ31" s="23">
        <f t="shared" si="22"/>
        <v>68.528044041836893</v>
      </c>
      <c r="CA31" s="23">
        <v>310</v>
      </c>
      <c r="CB31" s="23">
        <f t="shared" si="10"/>
        <v>139.01345291479822</v>
      </c>
      <c r="CC31" s="23">
        <f t="shared" si="24"/>
        <v>77.306733167082299</v>
      </c>
      <c r="CD31" s="23">
        <v>312</v>
      </c>
      <c r="CE31" s="23">
        <f t="shared" si="11"/>
        <v>100.64516129032258</v>
      </c>
      <c r="CF31" s="23">
        <f t="shared" si="25"/>
        <v>77.037037037037038</v>
      </c>
      <c r="CG31" s="23">
        <v>315</v>
      </c>
      <c r="CH31" s="23">
        <f t="shared" si="26"/>
        <v>100.96153846153845</v>
      </c>
    </row>
    <row r="32" spans="1:86" ht="22.5" hidden="1" customHeight="1" x14ac:dyDescent="0.25">
      <c r="A32" s="9"/>
      <c r="B32" s="37" t="s">
        <v>120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>
        <v>-154.69315</v>
      </c>
      <c r="AD32" s="23"/>
      <c r="AE32" s="23"/>
      <c r="AF32" s="23"/>
      <c r="AG32" s="23">
        <v>-13.29058</v>
      </c>
      <c r="AH32" s="23"/>
      <c r="AI32" s="23"/>
      <c r="AJ32" s="23"/>
      <c r="AK32" s="23"/>
      <c r="AL32" s="23"/>
      <c r="AM32" s="23">
        <v>-12.069559999999999</v>
      </c>
      <c r="AN32" s="23"/>
      <c r="AO32" s="23"/>
      <c r="AP32" s="23"/>
      <c r="AQ32" s="23"/>
      <c r="AR32" s="23"/>
      <c r="AS32" s="23"/>
      <c r="AT32" s="23"/>
      <c r="AU32" s="23"/>
      <c r="AV32" s="23"/>
      <c r="AW32" s="23">
        <v>-13.69693</v>
      </c>
      <c r="AX32" s="23"/>
      <c r="AY32" s="23"/>
      <c r="AZ32" s="23"/>
      <c r="BA32" s="23"/>
      <c r="BB32" s="23"/>
      <c r="BC32" s="23"/>
      <c r="BD32" s="23"/>
      <c r="BE32" s="23"/>
      <c r="BF32" s="23">
        <v>-6.6611599999999997</v>
      </c>
      <c r="BG32" s="23"/>
      <c r="BH32" s="23"/>
      <c r="BI32" s="23"/>
      <c r="BJ32" s="19"/>
      <c r="BK32" s="22"/>
      <c r="BL32" s="23"/>
      <c r="BM32" s="23"/>
      <c r="BN32" s="23"/>
      <c r="BO32" s="23">
        <v>-0.46176</v>
      </c>
      <c r="BP32" s="23"/>
      <c r="BQ32" s="23"/>
      <c r="BR32" s="23"/>
      <c r="BS32" s="22"/>
      <c r="BT32" s="23"/>
      <c r="BU32" s="23"/>
      <c r="BV32" s="23" t="e">
        <f t="shared" si="7"/>
        <v>#DIV/0!</v>
      </c>
      <c r="BW32" s="23"/>
      <c r="BX32" s="23" t="e">
        <f t="shared" si="8"/>
        <v>#DIV/0!</v>
      </c>
      <c r="BY32" s="23"/>
      <c r="BZ32" s="23" t="e">
        <f t="shared" si="22"/>
        <v>#DIV/0!</v>
      </c>
      <c r="CA32" s="23"/>
      <c r="CB32" s="23" t="e">
        <f t="shared" si="10"/>
        <v>#DIV/0!</v>
      </c>
      <c r="CC32" s="23" t="e">
        <f t="shared" si="24"/>
        <v>#DIV/0!</v>
      </c>
      <c r="CD32" s="23"/>
      <c r="CE32" s="23" t="e">
        <f t="shared" si="11"/>
        <v>#DIV/0!</v>
      </c>
      <c r="CF32" s="23" t="e">
        <f t="shared" si="25"/>
        <v>#DIV/0!</v>
      </c>
      <c r="CG32" s="23"/>
      <c r="CH32" s="23" t="e">
        <f t="shared" si="26"/>
        <v>#DIV/0!</v>
      </c>
    </row>
    <row r="33" spans="1:86" ht="22.5" customHeight="1" x14ac:dyDescent="0.25">
      <c r="A33" s="17" t="s">
        <v>134</v>
      </c>
      <c r="B33" s="18" t="s">
        <v>135</v>
      </c>
      <c r="C33" s="19">
        <f t="shared" ref="C33:AP33" si="48">C34+C35</f>
        <v>142.42343</v>
      </c>
      <c r="D33" s="19">
        <f t="shared" si="48"/>
        <v>118</v>
      </c>
      <c r="E33" s="19">
        <f t="shared" si="48"/>
        <v>144</v>
      </c>
      <c r="F33" s="19">
        <f t="shared" si="48"/>
        <v>138.09</v>
      </c>
      <c r="G33" s="19">
        <f t="shared" si="48"/>
        <v>120</v>
      </c>
      <c r="H33" s="19">
        <f t="shared" si="48"/>
        <v>148.80000000000001</v>
      </c>
      <c r="I33" s="19">
        <f t="shared" si="48"/>
        <v>163.16</v>
      </c>
      <c r="J33" s="19">
        <f t="shared" si="48"/>
        <v>123</v>
      </c>
      <c r="K33" s="19">
        <f t="shared" si="48"/>
        <v>154</v>
      </c>
      <c r="L33" s="19">
        <f t="shared" si="48"/>
        <v>154.15</v>
      </c>
      <c r="M33" s="19">
        <f t="shared" si="48"/>
        <v>154.15</v>
      </c>
      <c r="N33" s="19">
        <f t="shared" si="48"/>
        <v>158.69999999999999</v>
      </c>
      <c r="O33" s="19">
        <f t="shared" si="48"/>
        <v>158.69999999999999</v>
      </c>
      <c r="P33" s="19">
        <f t="shared" si="48"/>
        <v>160.15</v>
      </c>
      <c r="Q33" s="19">
        <f t="shared" si="48"/>
        <v>160.15</v>
      </c>
      <c r="R33" s="19">
        <f t="shared" si="48"/>
        <v>160</v>
      </c>
      <c r="S33" s="19">
        <f t="shared" si="48"/>
        <v>124.1</v>
      </c>
      <c r="T33" s="19">
        <f t="shared" si="48"/>
        <v>127</v>
      </c>
      <c r="U33" s="19">
        <f t="shared" si="48"/>
        <v>127</v>
      </c>
      <c r="V33" s="19">
        <f t="shared" si="48"/>
        <v>161</v>
      </c>
      <c r="W33" s="19">
        <f t="shared" si="48"/>
        <v>155.19999999999999</v>
      </c>
      <c r="X33" s="19">
        <f t="shared" si="48"/>
        <v>161.06</v>
      </c>
      <c r="Y33" s="19">
        <f t="shared" si="48"/>
        <v>161.06</v>
      </c>
      <c r="Z33" s="19">
        <f t="shared" si="48"/>
        <v>132</v>
      </c>
      <c r="AA33" s="19">
        <f t="shared" si="48"/>
        <v>132</v>
      </c>
      <c r="AB33" s="19">
        <f t="shared" si="48"/>
        <v>139.67500000000001</v>
      </c>
      <c r="AC33" s="19">
        <f t="shared" si="48"/>
        <v>139.67500000000001</v>
      </c>
      <c r="AD33" s="19">
        <f t="shared" si="48"/>
        <v>145.1</v>
      </c>
      <c r="AE33" s="19">
        <f t="shared" si="48"/>
        <v>80.099999999999994</v>
      </c>
      <c r="AF33" s="19">
        <f t="shared" si="48"/>
        <v>83.87</v>
      </c>
      <c r="AG33" s="19">
        <f t="shared" si="48"/>
        <v>83.87</v>
      </c>
      <c r="AH33" s="19">
        <f t="shared" si="48"/>
        <v>148.6</v>
      </c>
      <c r="AI33" s="19">
        <f t="shared" si="48"/>
        <v>148.6</v>
      </c>
      <c r="AJ33" s="19">
        <f t="shared" si="48"/>
        <v>148.6</v>
      </c>
      <c r="AK33" s="19">
        <f t="shared" si="48"/>
        <v>63.6</v>
      </c>
      <c r="AL33" s="19">
        <f t="shared" si="48"/>
        <v>63.965000000000003</v>
      </c>
      <c r="AM33" s="19">
        <f t="shared" si="48"/>
        <v>63.965000000000003</v>
      </c>
      <c r="AN33" s="19">
        <f t="shared" si="48"/>
        <v>67</v>
      </c>
      <c r="AO33" s="19">
        <f t="shared" si="48"/>
        <v>70</v>
      </c>
      <c r="AP33" s="19">
        <f t="shared" si="48"/>
        <v>73</v>
      </c>
      <c r="AQ33" s="19">
        <v>67</v>
      </c>
      <c r="AR33" s="19">
        <v>67</v>
      </c>
      <c r="AS33" s="19">
        <v>76.599999999999994</v>
      </c>
      <c r="AT33" s="19">
        <f>AT34+AT35</f>
        <v>76.599999999999994</v>
      </c>
      <c r="AU33" s="19">
        <f>AU34+AU35</f>
        <v>105.89999999999999</v>
      </c>
      <c r="AV33" s="19">
        <f>AV34+AV35</f>
        <v>114.02199999999999</v>
      </c>
      <c r="AW33" s="19">
        <f>AW34+AW35</f>
        <v>114.02199999999999</v>
      </c>
      <c r="AX33" s="19">
        <f t="shared" ref="AX33" si="49">AX34+AX35</f>
        <v>67.099999999999994</v>
      </c>
      <c r="AY33" s="19">
        <f>AY34+AY35</f>
        <v>67.099999999999994</v>
      </c>
      <c r="AZ33" s="19">
        <f>AZ34+AZ35</f>
        <v>67.099999999999994</v>
      </c>
      <c r="BA33" s="19">
        <v>67.099999999999994</v>
      </c>
      <c r="BB33" s="19">
        <v>67.099999999999994</v>
      </c>
      <c r="BC33" s="19">
        <v>67.099999999999994</v>
      </c>
      <c r="BD33" s="19">
        <v>67.099999999999994</v>
      </c>
      <c r="BE33" s="19">
        <f>BE34+BE35</f>
        <v>73.5</v>
      </c>
      <c r="BF33" s="19">
        <f>BF34+BF35</f>
        <v>73.5</v>
      </c>
      <c r="BG33" s="19">
        <f t="shared" ref="BG33" si="50">BG34+BG35</f>
        <v>71.7</v>
      </c>
      <c r="BH33" s="19">
        <f>BH34+BH35</f>
        <v>76.099999999999994</v>
      </c>
      <c r="BI33" s="19">
        <f>BI34+BI35</f>
        <v>71.7</v>
      </c>
      <c r="BJ33" s="19">
        <f t="shared" ref="BJ33:BM33" si="51">BJ34+BJ35</f>
        <v>71.7</v>
      </c>
      <c r="BK33" s="19">
        <f t="shared" si="51"/>
        <v>71.7</v>
      </c>
      <c r="BL33" s="19">
        <f t="shared" si="51"/>
        <v>61.7</v>
      </c>
      <c r="BM33" s="19">
        <f t="shared" si="51"/>
        <v>61.7</v>
      </c>
      <c r="BN33" s="19">
        <f>BN34+BN35</f>
        <v>67.099999999999994</v>
      </c>
      <c r="BO33" s="19">
        <f>BO34+BO35</f>
        <v>67.099999999999994</v>
      </c>
      <c r="BP33" s="19">
        <f t="shared" ref="BP33" si="52">BP34+BP35</f>
        <v>74.2</v>
      </c>
      <c r="BQ33" s="19">
        <f>BQ34+BQ35</f>
        <v>72.400000000000006</v>
      </c>
      <c r="BR33" s="19">
        <f>BR34+BR35</f>
        <v>73.5</v>
      </c>
      <c r="BS33" s="19">
        <f>BS34+BS35</f>
        <v>74.2</v>
      </c>
      <c r="BT33" s="19">
        <f>BT34+BT35</f>
        <v>74.2</v>
      </c>
      <c r="BU33" s="19">
        <f>BU34+BU35</f>
        <v>74.2</v>
      </c>
      <c r="BV33" s="23">
        <f t="shared" si="7"/>
        <v>91.292517006802711</v>
      </c>
      <c r="BW33" s="19">
        <f>BW34+BW35</f>
        <v>52.4</v>
      </c>
      <c r="BX33" s="23">
        <f t="shared" si="8"/>
        <v>70.619946091644209</v>
      </c>
      <c r="BY33" s="19">
        <f>BY34+BY35</f>
        <v>74.2</v>
      </c>
      <c r="BZ33" s="23">
        <f t="shared" si="22"/>
        <v>110.5812220566319</v>
      </c>
      <c r="CA33" s="19">
        <f t="shared" ref="CA33" si="53">CA34+CA35</f>
        <v>67</v>
      </c>
      <c r="CB33" s="23">
        <f t="shared" si="10"/>
        <v>90.296495956873315</v>
      </c>
      <c r="CC33" s="23">
        <f t="shared" si="24"/>
        <v>92.541436464088392</v>
      </c>
      <c r="CD33" s="19">
        <f>CD34+CD35</f>
        <v>79.8</v>
      </c>
      <c r="CE33" s="23">
        <f t="shared" si="11"/>
        <v>119.1044776119403</v>
      </c>
      <c r="CF33" s="23">
        <f t="shared" si="25"/>
        <v>108.57142857142857</v>
      </c>
      <c r="CG33" s="19">
        <f>CG34+CG35</f>
        <v>75.400000000000006</v>
      </c>
      <c r="CH33" s="23">
        <f t="shared" si="26"/>
        <v>94.486215538847134</v>
      </c>
    </row>
    <row r="34" spans="1:86" ht="22.5" hidden="1" customHeight="1" x14ac:dyDescent="0.25">
      <c r="A34" s="9" t="s">
        <v>136</v>
      </c>
      <c r="B34" s="37" t="s">
        <v>137</v>
      </c>
      <c r="C34" s="23">
        <v>142.42343</v>
      </c>
      <c r="D34" s="23">
        <v>118</v>
      </c>
      <c r="E34" s="23">
        <v>143</v>
      </c>
      <c r="F34" s="23">
        <v>137.09</v>
      </c>
      <c r="G34" s="23">
        <v>120</v>
      </c>
      <c r="H34" s="23">
        <v>148.80000000000001</v>
      </c>
      <c r="I34" s="23">
        <v>163.16</v>
      </c>
      <c r="J34" s="23">
        <v>123</v>
      </c>
      <c r="K34" s="23">
        <v>154</v>
      </c>
      <c r="L34" s="23">
        <v>154.15</v>
      </c>
      <c r="M34" s="23">
        <v>154.15</v>
      </c>
      <c r="N34" s="23">
        <v>158.69999999999999</v>
      </c>
      <c r="O34" s="23">
        <v>158.69999999999999</v>
      </c>
      <c r="P34" s="23">
        <v>160.15</v>
      </c>
      <c r="Q34" s="23">
        <v>160.15</v>
      </c>
      <c r="R34" s="23">
        <v>160</v>
      </c>
      <c r="S34" s="23">
        <v>124.1</v>
      </c>
      <c r="T34" s="23">
        <v>127</v>
      </c>
      <c r="U34" s="23">
        <v>127</v>
      </c>
      <c r="V34" s="23">
        <v>161</v>
      </c>
      <c r="W34" s="23">
        <v>155.19999999999999</v>
      </c>
      <c r="X34" s="23">
        <v>161.06</v>
      </c>
      <c r="Y34" s="23">
        <v>161.06</v>
      </c>
      <c r="Z34" s="23">
        <v>132</v>
      </c>
      <c r="AA34" s="23">
        <v>132</v>
      </c>
      <c r="AB34" s="23">
        <v>139.67500000000001</v>
      </c>
      <c r="AC34" s="23">
        <v>139.67500000000001</v>
      </c>
      <c r="AD34" s="23">
        <v>145.1</v>
      </c>
      <c r="AE34" s="23">
        <v>80.099999999999994</v>
      </c>
      <c r="AF34" s="23">
        <v>83.87</v>
      </c>
      <c r="AG34" s="23">
        <v>83.87</v>
      </c>
      <c r="AH34" s="23">
        <v>148.6</v>
      </c>
      <c r="AI34" s="23">
        <v>148.6</v>
      </c>
      <c r="AJ34" s="23">
        <v>148.6</v>
      </c>
      <c r="AK34" s="23">
        <v>63.6</v>
      </c>
      <c r="AL34" s="23">
        <v>63.965000000000003</v>
      </c>
      <c r="AM34" s="23">
        <v>63.965000000000003</v>
      </c>
      <c r="AN34" s="23">
        <v>67</v>
      </c>
      <c r="AO34" s="23">
        <v>70</v>
      </c>
      <c r="AP34" s="23">
        <v>73</v>
      </c>
      <c r="AQ34" s="23">
        <v>75</v>
      </c>
      <c r="AR34" s="23">
        <v>76</v>
      </c>
      <c r="AS34" s="23"/>
      <c r="AT34" s="23">
        <v>67</v>
      </c>
      <c r="AU34" s="23">
        <v>96.3</v>
      </c>
      <c r="AV34" s="23">
        <v>104.422</v>
      </c>
      <c r="AW34" s="23">
        <v>104.422</v>
      </c>
      <c r="AX34" s="23">
        <v>67.099999999999994</v>
      </c>
      <c r="AY34" s="23">
        <v>67.099999999999994</v>
      </c>
      <c r="AZ34" s="23">
        <v>67.099999999999994</v>
      </c>
      <c r="BA34" s="23">
        <v>68.099999999999994</v>
      </c>
      <c r="BB34" s="23">
        <v>69.099999999999994</v>
      </c>
      <c r="BC34" s="23">
        <v>67.099999999999994</v>
      </c>
      <c r="BD34" s="23">
        <v>67.099999999999994</v>
      </c>
      <c r="BE34" s="23">
        <v>73.5</v>
      </c>
      <c r="BF34" s="23">
        <v>73.5</v>
      </c>
      <c r="BG34" s="23">
        <v>71.7</v>
      </c>
      <c r="BH34" s="23">
        <v>76.099999999999994</v>
      </c>
      <c r="BI34" s="23">
        <v>71.7</v>
      </c>
      <c r="BJ34" s="19">
        <v>71.7</v>
      </c>
      <c r="BK34" s="22">
        <v>71.7</v>
      </c>
      <c r="BL34" s="23">
        <v>61.7</v>
      </c>
      <c r="BM34" s="23">
        <v>61.7</v>
      </c>
      <c r="BN34" s="23">
        <v>67.099999999999994</v>
      </c>
      <c r="BO34" s="23">
        <v>67.099999999999994</v>
      </c>
      <c r="BP34" s="23">
        <v>74.2</v>
      </c>
      <c r="BQ34" s="23">
        <v>72.400000000000006</v>
      </c>
      <c r="BR34" s="23">
        <v>73.5</v>
      </c>
      <c r="BS34" s="22">
        <v>74.2</v>
      </c>
      <c r="BT34" s="23">
        <v>74.2</v>
      </c>
      <c r="BU34" s="23">
        <v>74.2</v>
      </c>
      <c r="BV34" s="23">
        <f t="shared" si="7"/>
        <v>91.292517006802711</v>
      </c>
      <c r="BW34" s="23">
        <v>52.4</v>
      </c>
      <c r="BX34" s="23">
        <f t="shared" si="8"/>
        <v>70.619946091644209</v>
      </c>
      <c r="BY34" s="23">
        <v>74.2</v>
      </c>
      <c r="BZ34" s="23">
        <f t="shared" si="22"/>
        <v>110.5812220566319</v>
      </c>
      <c r="CA34" s="23">
        <v>67</v>
      </c>
      <c r="CB34" s="23">
        <f t="shared" si="10"/>
        <v>90.296495956873315</v>
      </c>
      <c r="CC34" s="23">
        <f t="shared" si="24"/>
        <v>92.541436464088392</v>
      </c>
      <c r="CD34" s="23">
        <v>79.8</v>
      </c>
      <c r="CE34" s="23">
        <f t="shared" si="11"/>
        <v>119.1044776119403</v>
      </c>
      <c r="CF34" s="23">
        <f t="shared" si="25"/>
        <v>108.57142857142857</v>
      </c>
      <c r="CG34" s="23">
        <v>75.400000000000006</v>
      </c>
      <c r="CH34" s="23">
        <f t="shared" si="26"/>
        <v>94.486215538847134</v>
      </c>
    </row>
    <row r="35" spans="1:86" ht="22.5" hidden="1" customHeight="1" x14ac:dyDescent="0.25">
      <c r="A35" s="9" t="s">
        <v>138</v>
      </c>
      <c r="B35" s="37" t="s">
        <v>139</v>
      </c>
      <c r="C35" s="23"/>
      <c r="D35" s="23"/>
      <c r="E35" s="23">
        <v>1</v>
      </c>
      <c r="F35" s="23">
        <v>1</v>
      </c>
      <c r="G35" s="23"/>
      <c r="H35" s="23">
        <v>0</v>
      </c>
      <c r="I35" s="23"/>
      <c r="J35" s="23"/>
      <c r="K35" s="23">
        <v>0</v>
      </c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>
        <v>9.6</v>
      </c>
      <c r="AT35" s="23">
        <v>9.6</v>
      </c>
      <c r="AU35" s="23">
        <v>9.6</v>
      </c>
      <c r="AV35" s="23">
        <v>9.6</v>
      </c>
      <c r="AW35" s="23">
        <v>9.6</v>
      </c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19"/>
      <c r="BK35" s="22"/>
      <c r="BL35" s="23"/>
      <c r="BM35" s="23"/>
      <c r="BN35" s="23"/>
      <c r="BO35" s="23"/>
      <c r="BP35" s="23"/>
      <c r="BQ35" s="23"/>
      <c r="BR35" s="23"/>
      <c r="BS35" s="22"/>
      <c r="BT35" s="23"/>
      <c r="BU35" s="23"/>
      <c r="BV35" s="23" t="e">
        <f t="shared" si="7"/>
        <v>#DIV/0!</v>
      </c>
      <c r="BW35" s="23"/>
      <c r="BX35" s="23" t="e">
        <f t="shared" si="8"/>
        <v>#DIV/0!</v>
      </c>
      <c r="BY35" s="23"/>
      <c r="BZ35" s="23" t="e">
        <f t="shared" si="22"/>
        <v>#DIV/0!</v>
      </c>
      <c r="CA35" s="23"/>
      <c r="CB35" s="23" t="e">
        <f t="shared" si="10"/>
        <v>#DIV/0!</v>
      </c>
      <c r="CC35" s="23" t="e">
        <f t="shared" si="24"/>
        <v>#DIV/0!</v>
      </c>
      <c r="CD35" s="23"/>
      <c r="CE35" s="23" t="e">
        <f t="shared" si="11"/>
        <v>#DIV/0!</v>
      </c>
      <c r="CF35" s="23" t="e">
        <f t="shared" si="25"/>
        <v>#DIV/0!</v>
      </c>
      <c r="CG35" s="23"/>
      <c r="CH35" s="23" t="e">
        <f t="shared" si="26"/>
        <v>#DIV/0!</v>
      </c>
    </row>
    <row r="36" spans="1:86" s="24" customFormat="1" ht="22.5" customHeight="1" x14ac:dyDescent="0.25">
      <c r="A36" s="17"/>
      <c r="B36" s="18" t="s">
        <v>140</v>
      </c>
      <c r="C36" s="19">
        <f t="shared" ref="C36:AU36" si="54">C38+C45+C49+C54+C64</f>
        <v>4280.3270300000004</v>
      </c>
      <c r="D36" s="19">
        <f t="shared" si="54"/>
        <v>1858</v>
      </c>
      <c r="E36" s="19">
        <f t="shared" si="54"/>
        <v>1401</v>
      </c>
      <c r="F36" s="19">
        <f t="shared" si="54"/>
        <v>1301.34817</v>
      </c>
      <c r="G36" s="19">
        <f t="shared" si="54"/>
        <v>1110</v>
      </c>
      <c r="H36" s="19">
        <f t="shared" si="54"/>
        <v>1034.7</v>
      </c>
      <c r="I36" s="19">
        <f t="shared" si="54"/>
        <v>958.79902000000004</v>
      </c>
      <c r="J36" s="19">
        <f t="shared" si="54"/>
        <v>941.5</v>
      </c>
      <c r="K36" s="19">
        <f t="shared" si="54"/>
        <v>1228.5</v>
      </c>
      <c r="L36" s="19">
        <f t="shared" si="54"/>
        <v>1186.2139299999999</v>
      </c>
      <c r="M36" s="19">
        <f t="shared" si="54"/>
        <v>1186.2139299999999</v>
      </c>
      <c r="N36" s="19">
        <f t="shared" si="54"/>
        <v>1368.6</v>
      </c>
      <c r="O36" s="19">
        <f t="shared" si="54"/>
        <v>469.6</v>
      </c>
      <c r="P36" s="19">
        <f t="shared" si="54"/>
        <v>217.67254000000003</v>
      </c>
      <c r="Q36" s="19">
        <f t="shared" si="54"/>
        <v>-43683.19627</v>
      </c>
      <c r="R36" s="19">
        <f t="shared" si="54"/>
        <v>145</v>
      </c>
      <c r="S36" s="19">
        <f t="shared" si="54"/>
        <v>676.5</v>
      </c>
      <c r="T36" s="19">
        <f t="shared" si="54"/>
        <v>676.51172000000008</v>
      </c>
      <c r="U36" s="19">
        <f t="shared" si="54"/>
        <v>-7869.8074799999995</v>
      </c>
      <c r="V36" s="19">
        <f t="shared" si="54"/>
        <v>156</v>
      </c>
      <c r="W36" s="19">
        <f t="shared" si="54"/>
        <v>357.8</v>
      </c>
      <c r="X36" s="19">
        <f t="shared" si="54"/>
        <v>387.339</v>
      </c>
      <c r="Y36" s="19">
        <f t="shared" si="54"/>
        <v>357.05500999999998</v>
      </c>
      <c r="Z36" s="19">
        <f t="shared" si="54"/>
        <v>160</v>
      </c>
      <c r="AA36" s="19">
        <f t="shared" si="54"/>
        <v>1084.3999999999999</v>
      </c>
      <c r="AB36" s="19">
        <f t="shared" si="54"/>
        <v>1141.6009299999998</v>
      </c>
      <c r="AC36" s="19">
        <f t="shared" si="54"/>
        <v>3231.3117899999997</v>
      </c>
      <c r="AD36" s="19">
        <f t="shared" si="54"/>
        <v>166.8</v>
      </c>
      <c r="AE36" s="19">
        <f t="shared" si="54"/>
        <v>1182.9000000000001</v>
      </c>
      <c r="AF36" s="19">
        <f t="shared" si="54"/>
        <v>1231.31305</v>
      </c>
      <c r="AG36" s="19">
        <f t="shared" si="54"/>
        <v>-30961.468920000003</v>
      </c>
      <c r="AH36" s="19">
        <f t="shared" si="54"/>
        <v>854</v>
      </c>
      <c r="AI36" s="19">
        <f t="shared" si="54"/>
        <v>159.5</v>
      </c>
      <c r="AJ36" s="19">
        <f t="shared" si="54"/>
        <v>159.5</v>
      </c>
      <c r="AK36" s="19">
        <f t="shared" si="54"/>
        <v>2462.5</v>
      </c>
      <c r="AL36" s="19">
        <f t="shared" si="54"/>
        <v>1834.3150699999999</v>
      </c>
      <c r="AM36" s="19">
        <f t="shared" si="54"/>
        <v>80998.769549999997</v>
      </c>
      <c r="AN36" s="19">
        <f t="shared" si="54"/>
        <v>256.3</v>
      </c>
      <c r="AO36" s="19">
        <f t="shared" si="54"/>
        <v>259.3</v>
      </c>
      <c r="AP36" s="19">
        <f t="shared" si="54"/>
        <v>262.3</v>
      </c>
      <c r="AQ36" s="19">
        <f t="shared" si="54"/>
        <v>804.8</v>
      </c>
      <c r="AR36" s="19">
        <f t="shared" si="54"/>
        <v>843.8</v>
      </c>
      <c r="AS36" s="19">
        <f t="shared" si="54"/>
        <v>1243.8</v>
      </c>
      <c r="AT36" s="19">
        <f t="shared" si="54"/>
        <v>1853.8</v>
      </c>
      <c r="AU36" s="19">
        <f t="shared" si="54"/>
        <v>1792.5</v>
      </c>
      <c r="AV36" s="19">
        <f>AV38+AV45+AV49+AV54+AV64</f>
        <v>1993.0226299999999</v>
      </c>
      <c r="AW36" s="19">
        <f>AW38+AW45+AW49+AW54+AW64</f>
        <v>-6066.6409400000011</v>
      </c>
      <c r="AX36" s="19">
        <f t="shared" ref="AX36" si="55">AX38+AX45+AX49+AX54+AX64</f>
        <v>805.90000000000009</v>
      </c>
      <c r="AY36" s="19">
        <f>AY38+AY45+AY49+AY54+AY64</f>
        <v>805.90000000000009</v>
      </c>
      <c r="AZ36" s="19">
        <f>AZ38+AZ45+AZ49+AZ54+AZ64</f>
        <v>805.90000000000009</v>
      </c>
      <c r="BA36" s="19">
        <f t="shared" ref="BA36:BN36" si="56">BA38+BA45+BA49+BA54+BA64</f>
        <v>1305.9000000000001</v>
      </c>
      <c r="BB36" s="19">
        <f t="shared" si="56"/>
        <v>2324</v>
      </c>
      <c r="BC36" s="19">
        <f t="shared" si="56"/>
        <v>2624.1000000000004</v>
      </c>
      <c r="BD36" s="19">
        <f t="shared" si="56"/>
        <v>2558.8000000000002</v>
      </c>
      <c r="BE36" s="19">
        <f t="shared" si="56"/>
        <v>2081.4373000000001</v>
      </c>
      <c r="BF36" s="19">
        <f>BF38+BF45+BF49+BF54+BF64+BF50+BF44</f>
        <v>-23981.633570000002</v>
      </c>
      <c r="BG36" s="19">
        <f t="shared" si="56"/>
        <v>1690.1</v>
      </c>
      <c r="BH36" s="19">
        <f t="shared" si="56"/>
        <v>1787.3</v>
      </c>
      <c r="BI36" s="19">
        <f t="shared" si="56"/>
        <v>1799.5</v>
      </c>
      <c r="BJ36" s="19">
        <f t="shared" si="56"/>
        <v>2198.6999999999998</v>
      </c>
      <c r="BK36" s="19">
        <f t="shared" si="56"/>
        <v>2704.3999999999996</v>
      </c>
      <c r="BL36" s="19">
        <f t="shared" si="56"/>
        <v>2743.7999999999997</v>
      </c>
      <c r="BM36" s="19">
        <f t="shared" si="56"/>
        <v>2735.5999999999995</v>
      </c>
      <c r="BN36" s="19">
        <f t="shared" si="56"/>
        <v>2879.3268600000001</v>
      </c>
      <c r="BO36" s="19">
        <f>BO38+BO45+BO49+BO54+BO64+BO50+BO44</f>
        <v>-12585.21183</v>
      </c>
      <c r="BP36" s="19">
        <f t="shared" ref="BP36" si="57">BP38+BP45+BP49+BP54+BP64</f>
        <v>2100.1</v>
      </c>
      <c r="BQ36" s="19">
        <f>BQ38+BQ45+BQ49+BQ54+BQ64</f>
        <v>2124.5</v>
      </c>
      <c r="BR36" s="19">
        <f>BR38+BR45+BR49+BR54+BR64</f>
        <v>2134.5</v>
      </c>
      <c r="BS36" s="19">
        <f>BS38+BS45+BS49+BS54+BS64</f>
        <v>2100.1</v>
      </c>
      <c r="BT36" s="19">
        <f>BT38+BT45+BT49+BT54+BT64</f>
        <v>2388.6999999999998</v>
      </c>
      <c r="BU36" s="19">
        <f>BU38+BU45+BU49+BU54+BU64</f>
        <v>3563.7</v>
      </c>
      <c r="BV36" s="23">
        <f t="shared" si="7"/>
        <v>138.33358612339657</v>
      </c>
      <c r="BW36" s="19">
        <f>BW38+BW45+BW49+BW54+BW64</f>
        <v>1740.5</v>
      </c>
      <c r="BX36" s="23">
        <f t="shared" si="8"/>
        <v>57.037522529903327</v>
      </c>
      <c r="BY36" s="19">
        <f>BY38+BY45+BY49+BY54+BY64</f>
        <v>3051.5</v>
      </c>
      <c r="BZ36" s="23">
        <f t="shared" si="22"/>
        <v>105.97963164209845</v>
      </c>
      <c r="CA36" s="19">
        <f t="shared" ref="CA36" si="58">CA38+CA45+CA49+CA54+CA64</f>
        <v>2299.9</v>
      </c>
      <c r="CB36" s="23">
        <f t="shared" si="10"/>
        <v>75.369490414550228</v>
      </c>
      <c r="CC36" s="23">
        <f t="shared" si="24"/>
        <v>108.25606024947048</v>
      </c>
      <c r="CD36" s="19">
        <f>CD38+CD45+CD49+CD54+CD64</f>
        <v>2354.8000000000002</v>
      </c>
      <c r="CE36" s="23">
        <f t="shared" si="11"/>
        <v>102.38706030696987</v>
      </c>
      <c r="CF36" s="23">
        <f t="shared" si="25"/>
        <v>110.32091824783323</v>
      </c>
      <c r="CG36" s="19">
        <f>CG38+CG45+CG49+CG54+CG64</f>
        <v>2400.1999999999998</v>
      </c>
      <c r="CH36" s="23">
        <f t="shared" si="26"/>
        <v>101.92797689825038</v>
      </c>
    </row>
    <row r="37" spans="1:86" s="24" customFormat="1" ht="21.75" customHeight="1" x14ac:dyDescent="0.25">
      <c r="A37" s="17"/>
      <c r="B37" s="18" t="s">
        <v>89</v>
      </c>
      <c r="C37" s="19">
        <f t="shared" ref="C37:BN37" si="59">C36/C126*100</f>
        <v>9.0002205228294496</v>
      </c>
      <c r="D37" s="19">
        <f t="shared" si="59"/>
        <v>4.7543987144187758</v>
      </c>
      <c r="E37" s="19">
        <f t="shared" si="59"/>
        <v>2.1411443583673506</v>
      </c>
      <c r="F37" s="19">
        <f t="shared" si="59"/>
        <v>2.1224650918180243</v>
      </c>
      <c r="G37" s="19">
        <f t="shared" si="59"/>
        <v>2.5749937944969368</v>
      </c>
      <c r="H37" s="19">
        <f t="shared" si="59"/>
        <v>1.9472600599967631</v>
      </c>
      <c r="I37" s="19">
        <f t="shared" si="59"/>
        <v>1.8324915691822665</v>
      </c>
      <c r="J37" s="19">
        <f t="shared" si="59"/>
        <v>2.168135886736489</v>
      </c>
      <c r="K37" s="19">
        <f t="shared" si="59"/>
        <v>2.4155966730243623</v>
      </c>
      <c r="L37" s="19">
        <f t="shared" si="59"/>
        <v>2.3602955777170744</v>
      </c>
      <c r="M37" s="19">
        <f t="shared" si="59"/>
        <v>0.75862255204926288</v>
      </c>
      <c r="N37" s="19">
        <f t="shared" si="59"/>
        <v>3.0900671253073471</v>
      </c>
      <c r="O37" s="19">
        <f t="shared" si="59"/>
        <v>0.82660193730428499</v>
      </c>
      <c r="P37" s="19">
        <f t="shared" si="59"/>
        <v>0.39340534246339531</v>
      </c>
      <c r="Q37" s="19">
        <f t="shared" si="59"/>
        <v>-26.718511096759535</v>
      </c>
      <c r="R37" s="19">
        <f t="shared" si="59"/>
        <v>0.26399924259527641</v>
      </c>
      <c r="S37" s="19">
        <f t="shared" si="59"/>
        <v>1.1428523161131197</v>
      </c>
      <c r="T37" s="19">
        <f t="shared" si="59"/>
        <v>1.1416925000328171</v>
      </c>
      <c r="U37" s="19">
        <f t="shared" si="59"/>
        <v>-6.283213827394035</v>
      </c>
      <c r="V37" s="19">
        <f t="shared" si="59"/>
        <v>0.32230537923911523</v>
      </c>
      <c r="W37" s="19">
        <f t="shared" si="59"/>
        <v>0.47216808022370577</v>
      </c>
      <c r="X37" s="19">
        <f t="shared" si="59"/>
        <v>0.51064208989397952</v>
      </c>
      <c r="Y37" s="19">
        <f t="shared" si="59"/>
        <v>0.1658553306894284</v>
      </c>
      <c r="Z37" s="19">
        <f t="shared" si="59"/>
        <v>0.33771160949559953</v>
      </c>
      <c r="AA37" s="19">
        <f t="shared" si="59"/>
        <v>1.8683524797537716</v>
      </c>
      <c r="AB37" s="19">
        <f t="shared" si="59"/>
        <v>1.9213493073697658</v>
      </c>
      <c r="AC37" s="19">
        <f t="shared" si="59"/>
        <v>1.3770901158369895</v>
      </c>
      <c r="AD37" s="19">
        <f t="shared" si="59"/>
        <v>0.33595773789907468</v>
      </c>
      <c r="AE37" s="19">
        <f t="shared" si="59"/>
        <v>1.9357784352744032</v>
      </c>
      <c r="AF37" s="19">
        <f t="shared" si="59"/>
        <v>1.9983048929114395</v>
      </c>
      <c r="AG37" s="19">
        <f t="shared" si="59"/>
        <v>-34.691086495299793</v>
      </c>
      <c r="AH37" s="19">
        <f t="shared" si="59"/>
        <v>1.5753143588547451</v>
      </c>
      <c r="AI37" s="19">
        <f t="shared" si="59"/>
        <v>0.29922818633101855</v>
      </c>
      <c r="AJ37" s="19">
        <f t="shared" si="59"/>
        <v>0.29915466575699495</v>
      </c>
      <c r="AK37" s="19">
        <f t="shared" si="59"/>
        <v>2.440392484483068</v>
      </c>
      <c r="AL37" s="19">
        <f t="shared" si="59"/>
        <v>1.8164865022046739</v>
      </c>
      <c r="AM37" s="19">
        <f t="shared" si="59"/>
        <v>30.236018169102607</v>
      </c>
      <c r="AN37" s="19">
        <f t="shared" si="59"/>
        <v>0.49319758709705874</v>
      </c>
      <c r="AO37" s="19">
        <f t="shared" si="59"/>
        <v>0.49891287778625659</v>
      </c>
      <c r="AP37" s="19">
        <f t="shared" si="59"/>
        <v>0.50462684902941635</v>
      </c>
      <c r="AQ37" s="19">
        <f t="shared" si="59"/>
        <v>1.2058121102610895</v>
      </c>
      <c r="AR37" s="19">
        <f t="shared" si="59"/>
        <v>1.1884038375951371</v>
      </c>
      <c r="AS37" s="19">
        <f t="shared" si="59"/>
        <v>1.892398910022046</v>
      </c>
      <c r="AT37" s="19">
        <f t="shared" si="59"/>
        <v>2.6861839321629151</v>
      </c>
      <c r="AU37" s="19">
        <f t="shared" si="59"/>
        <v>2.3507056051050634</v>
      </c>
      <c r="AV37" s="19">
        <f t="shared" si="59"/>
        <v>2.5724502047668341</v>
      </c>
      <c r="AW37" s="19">
        <f t="shared" si="59"/>
        <v>-5.653965611558025</v>
      </c>
      <c r="AX37" s="19">
        <f t="shared" si="59"/>
        <v>1.2157811315753098</v>
      </c>
      <c r="AY37" s="19">
        <f t="shared" si="59"/>
        <v>1.5820448371055169</v>
      </c>
      <c r="AZ37" s="19">
        <f t="shared" si="59"/>
        <v>1.5815387735294295</v>
      </c>
      <c r="BA37" s="19">
        <f t="shared" si="59"/>
        <v>1.8340622393002504</v>
      </c>
      <c r="BB37" s="19">
        <f t="shared" si="59"/>
        <v>2.9878954236601718</v>
      </c>
      <c r="BC37" s="19">
        <f t="shared" si="59"/>
        <v>3.9041496374962619</v>
      </c>
      <c r="BD37" s="19">
        <f t="shared" si="59"/>
        <v>2.7593554746052598</v>
      </c>
      <c r="BE37" s="19">
        <f t="shared" si="59"/>
        <v>2.2201182388228</v>
      </c>
      <c r="BF37" s="19">
        <f t="shared" si="59"/>
        <v>-18.163980323830568</v>
      </c>
      <c r="BG37" s="19">
        <f t="shared" si="59"/>
        <v>2.5974045130572088</v>
      </c>
      <c r="BH37" s="19">
        <f t="shared" si="59"/>
        <v>3.1061005213052462</v>
      </c>
      <c r="BI37" s="19">
        <f t="shared" si="59"/>
        <v>3.125993320966364</v>
      </c>
      <c r="BJ37" s="20">
        <f t="shared" si="59"/>
        <v>3.2640354861983267</v>
      </c>
      <c r="BK37" s="21">
        <f t="shared" si="59"/>
        <v>3.0900365630712976</v>
      </c>
      <c r="BL37" s="19">
        <f t="shared" si="59"/>
        <v>2.6448533898329587</v>
      </c>
      <c r="BM37" s="19">
        <f t="shared" si="59"/>
        <v>2.6741820080696064</v>
      </c>
      <c r="BN37" s="19">
        <f t="shared" si="59"/>
        <v>2.7076378225262556</v>
      </c>
      <c r="BO37" s="19">
        <f t="shared" ref="BO37:BW37" si="60">BO36/BO126*100</f>
        <v>-11.038344158322511</v>
      </c>
      <c r="BP37" s="19">
        <f t="shared" si="60"/>
        <v>2.9069179161033514</v>
      </c>
      <c r="BQ37" s="19">
        <f t="shared" si="60"/>
        <v>3.4197677411224765</v>
      </c>
      <c r="BR37" s="19">
        <f t="shared" si="60"/>
        <v>3.431693983599494</v>
      </c>
      <c r="BS37" s="21">
        <f t="shared" si="60"/>
        <v>2.8707107131189336</v>
      </c>
      <c r="BT37" s="19">
        <f t="shared" si="60"/>
        <v>2.3247620688212103</v>
      </c>
      <c r="BU37" s="19">
        <f t="shared" si="60"/>
        <v>3.4046191693138121</v>
      </c>
      <c r="BV37" s="23"/>
      <c r="BW37" s="19">
        <f t="shared" si="60"/>
        <v>2.7190851500925635</v>
      </c>
      <c r="BX37" s="23"/>
      <c r="BY37" s="19">
        <f>BY36/BY126*100</f>
        <v>2.8716513477422505</v>
      </c>
      <c r="BZ37" s="23"/>
      <c r="CA37" s="19">
        <f>CA36/CA126*100</f>
        <v>3.2754268695866515</v>
      </c>
      <c r="CB37" s="23"/>
      <c r="CC37" s="23"/>
      <c r="CD37" s="19">
        <f>CD36/CD126*100</f>
        <v>3.4311224600024461</v>
      </c>
      <c r="CE37" s="23"/>
      <c r="CF37" s="23"/>
      <c r="CG37" s="19">
        <f>CG36/CG126*100</f>
        <v>3.4217008017857138</v>
      </c>
      <c r="CH37" s="23"/>
    </row>
    <row r="38" spans="1:86" ht="38.25" customHeight="1" x14ac:dyDescent="0.25">
      <c r="A38" s="17" t="s">
        <v>141</v>
      </c>
      <c r="B38" s="18" t="s">
        <v>142</v>
      </c>
      <c r="C38" s="19">
        <f t="shared" ref="C38:U38" si="61">C39+C43</f>
        <v>2051.9010800000001</v>
      </c>
      <c r="D38" s="19">
        <f t="shared" si="61"/>
        <v>1858</v>
      </c>
      <c r="E38" s="19">
        <f t="shared" si="61"/>
        <v>261.2</v>
      </c>
      <c r="F38" s="19">
        <f t="shared" si="61"/>
        <v>157.93666999999999</v>
      </c>
      <c r="G38" s="19">
        <f t="shared" si="61"/>
        <v>1102</v>
      </c>
      <c r="H38" s="19">
        <f t="shared" si="61"/>
        <v>953.2</v>
      </c>
      <c r="I38" s="19">
        <f t="shared" si="61"/>
        <v>876.95874000000003</v>
      </c>
      <c r="J38" s="19">
        <f t="shared" si="61"/>
        <v>870.5</v>
      </c>
      <c r="K38" s="19">
        <f t="shared" si="61"/>
        <v>981.5</v>
      </c>
      <c r="L38" s="19">
        <f t="shared" si="61"/>
        <v>939.90006000000005</v>
      </c>
      <c r="M38" s="19">
        <f t="shared" si="61"/>
        <v>939.90006000000005</v>
      </c>
      <c r="N38" s="19">
        <f t="shared" si="61"/>
        <v>1297.5999999999999</v>
      </c>
      <c r="O38" s="19">
        <f t="shared" si="61"/>
        <v>469.6</v>
      </c>
      <c r="P38" s="19">
        <f t="shared" si="61"/>
        <v>155.59934000000001</v>
      </c>
      <c r="Q38" s="19">
        <f t="shared" si="61"/>
        <v>155.59934000000001</v>
      </c>
      <c r="R38" s="19">
        <f t="shared" si="61"/>
        <v>145</v>
      </c>
      <c r="S38" s="19">
        <f t="shared" si="61"/>
        <v>496.2</v>
      </c>
      <c r="T38" s="19">
        <f t="shared" si="61"/>
        <v>496.20251999999999</v>
      </c>
      <c r="U38" s="19">
        <f t="shared" si="61"/>
        <v>541.96591000000001</v>
      </c>
      <c r="V38" s="19">
        <f t="shared" ref="V38:AP38" si="62">V39+V43+V41</f>
        <v>156</v>
      </c>
      <c r="W38" s="19">
        <f t="shared" si="62"/>
        <v>248.8</v>
      </c>
      <c r="X38" s="19">
        <f t="shared" si="62"/>
        <v>255.02851000000001</v>
      </c>
      <c r="Y38" s="19">
        <f t="shared" si="62"/>
        <v>227.76512000000002</v>
      </c>
      <c r="Z38" s="19">
        <f>Z39+Z43+Z41</f>
        <v>160</v>
      </c>
      <c r="AA38" s="19">
        <f>AA39+AA43+AA41</f>
        <v>1014.3</v>
      </c>
      <c r="AB38" s="19">
        <f>AB39+AB43+AB41</f>
        <v>1014.62637</v>
      </c>
      <c r="AC38" s="19">
        <f>AC39+AC43+AC41</f>
        <v>1296.4234099999999</v>
      </c>
      <c r="AD38" s="19">
        <f t="shared" si="62"/>
        <v>166.8</v>
      </c>
      <c r="AE38" s="19">
        <f t="shared" si="62"/>
        <v>976.9</v>
      </c>
      <c r="AF38" s="19">
        <f t="shared" si="62"/>
        <v>984.30611999999996</v>
      </c>
      <c r="AG38" s="19">
        <f t="shared" si="62"/>
        <v>1023.17938</v>
      </c>
      <c r="AH38" s="19">
        <f t="shared" si="62"/>
        <v>854</v>
      </c>
      <c r="AI38" s="19">
        <f t="shared" si="62"/>
        <v>159.5</v>
      </c>
      <c r="AJ38" s="19">
        <f t="shared" si="62"/>
        <v>159.5</v>
      </c>
      <c r="AK38" s="19">
        <f t="shared" si="62"/>
        <v>1421.6999999999998</v>
      </c>
      <c r="AL38" s="19">
        <f t="shared" si="62"/>
        <v>766.49669999999992</v>
      </c>
      <c r="AM38" s="19">
        <f t="shared" si="62"/>
        <v>583.67509999999993</v>
      </c>
      <c r="AN38" s="19">
        <f t="shared" si="62"/>
        <v>256.3</v>
      </c>
      <c r="AO38" s="19">
        <f t="shared" si="62"/>
        <v>256.3</v>
      </c>
      <c r="AP38" s="19">
        <f t="shared" si="62"/>
        <v>256.3</v>
      </c>
      <c r="AQ38" s="19">
        <v>256.3</v>
      </c>
      <c r="AR38" s="19">
        <v>256.3</v>
      </c>
      <c r="AS38" s="19">
        <v>256.3</v>
      </c>
      <c r="AT38" s="19">
        <f>AT39+AT43+AT41</f>
        <v>256.3</v>
      </c>
      <c r="AU38" s="19">
        <f>AU39+AU43+AU41</f>
        <v>187</v>
      </c>
      <c r="AV38" s="19">
        <f>AV39+AV43+AV41</f>
        <v>214.06222</v>
      </c>
      <c r="AW38" s="19">
        <f>AW39+AW43+AW41</f>
        <v>1363.9473500000001</v>
      </c>
      <c r="AX38" s="19">
        <f t="shared" ref="AX38" si="63">AX39+AX43+AX41</f>
        <v>805.90000000000009</v>
      </c>
      <c r="AY38" s="19">
        <f>AY39+AY43+AY41</f>
        <v>805.90000000000009</v>
      </c>
      <c r="AZ38" s="19">
        <f>AZ39+AZ43+AZ41</f>
        <v>805.90000000000009</v>
      </c>
      <c r="BA38" s="19">
        <v>805.9</v>
      </c>
      <c r="BB38" s="19">
        <v>1324</v>
      </c>
      <c r="BC38" s="19">
        <f t="shared" ref="BC38:BG38" si="64">BC39+BC43+BC41</f>
        <v>1324.1000000000001</v>
      </c>
      <c r="BD38" s="19">
        <f t="shared" si="64"/>
        <v>1245.9000000000001</v>
      </c>
      <c r="BE38" s="19">
        <f t="shared" si="64"/>
        <v>678.18705</v>
      </c>
      <c r="BF38" s="19">
        <f>BF39+BF43+BF41</f>
        <v>809.42523000000006</v>
      </c>
      <c r="BG38" s="19">
        <f t="shared" si="64"/>
        <v>437.59999999999997</v>
      </c>
      <c r="BH38" s="19">
        <f>BH39+BH43+BH41</f>
        <v>437.59999999999997</v>
      </c>
      <c r="BI38" s="19">
        <f>BI39+BI43+BI41</f>
        <v>437.59999999999997</v>
      </c>
      <c r="BJ38" s="19">
        <f t="shared" ref="BJ38:BN38" si="65">BJ39+BJ43+BJ41</f>
        <v>946.2</v>
      </c>
      <c r="BK38" s="19">
        <f t="shared" si="65"/>
        <v>946.2</v>
      </c>
      <c r="BL38" s="19">
        <f t="shared" si="65"/>
        <v>821.4</v>
      </c>
      <c r="BM38" s="19">
        <f t="shared" si="65"/>
        <v>821.4</v>
      </c>
      <c r="BN38" s="19">
        <f t="shared" si="65"/>
        <v>810.76648999999998</v>
      </c>
      <c r="BO38" s="19">
        <f>BO39+BO43+BO41</f>
        <v>1235.9826599999999</v>
      </c>
      <c r="BP38" s="19">
        <f t="shared" ref="BP38" si="66">BP39+BP43+BP41</f>
        <v>713.5</v>
      </c>
      <c r="BQ38" s="19">
        <f>BQ39+BQ43+BQ41</f>
        <v>713.5</v>
      </c>
      <c r="BR38" s="19">
        <f>BR39+BR43+BR41</f>
        <v>713.5</v>
      </c>
      <c r="BS38" s="19">
        <f>BS39+BS43+BS41</f>
        <v>713.5</v>
      </c>
      <c r="BT38" s="19">
        <f>BT39+BT43+BT41</f>
        <v>713.5</v>
      </c>
      <c r="BU38" s="19">
        <f>BU39+BU43+BU41</f>
        <v>1773.5</v>
      </c>
      <c r="BV38" s="23">
        <f t="shared" si="7"/>
        <v>119.54909637392809</v>
      </c>
      <c r="BW38" s="19">
        <f>BW39+BW43+BW41</f>
        <v>313.8</v>
      </c>
      <c r="BX38" s="23">
        <f t="shared" si="8"/>
        <v>25.247405261887518</v>
      </c>
      <c r="BY38" s="19">
        <f>BY39+BY43+BY41</f>
        <v>1242.9000000000001</v>
      </c>
      <c r="BZ38" s="23">
        <f t="shared" ref="BZ38:BZ68" si="67">BY38/BN38*100</f>
        <v>153.29937970179307</v>
      </c>
      <c r="CA38" s="19">
        <f t="shared" ref="CA38" si="68">CA39+CA43+CA41</f>
        <v>753.5</v>
      </c>
      <c r="CB38" s="23">
        <f t="shared" si="10"/>
        <v>60.624346286909649</v>
      </c>
      <c r="CC38" s="23">
        <f t="shared" ref="CC38:CC53" si="69">CA38/BQ38*100</f>
        <v>105.60616678346182</v>
      </c>
      <c r="CD38" s="19">
        <f>CD39+CD43+CD41</f>
        <v>753.5</v>
      </c>
      <c r="CE38" s="23">
        <f t="shared" si="11"/>
        <v>100</v>
      </c>
      <c r="CF38" s="23">
        <f t="shared" ref="CF38:CF53" si="70">CD38/BR38*100</f>
        <v>105.60616678346182</v>
      </c>
      <c r="CG38" s="19">
        <f>CG39+CG43+CG41</f>
        <v>753.5</v>
      </c>
      <c r="CH38" s="23">
        <f t="shared" si="26"/>
        <v>100</v>
      </c>
    </row>
    <row r="39" spans="1:86" ht="89.25" hidden="1" x14ac:dyDescent="0.25">
      <c r="A39" s="9" t="s">
        <v>143</v>
      </c>
      <c r="B39" s="37" t="s">
        <v>144</v>
      </c>
      <c r="C39" s="23">
        <v>1962.58662</v>
      </c>
      <c r="D39" s="23">
        <v>1858</v>
      </c>
      <c r="E39" s="23">
        <v>0</v>
      </c>
      <c r="F39" s="23">
        <v>-99.637879999999996</v>
      </c>
      <c r="G39" s="23">
        <v>950</v>
      </c>
      <c r="H39" s="23">
        <v>939.2</v>
      </c>
      <c r="I39" s="23">
        <v>858.70236</v>
      </c>
      <c r="J39" s="23">
        <v>862.5</v>
      </c>
      <c r="K39" s="23">
        <v>722.5</v>
      </c>
      <c r="L39" s="23">
        <v>681.34639000000004</v>
      </c>
      <c r="M39" s="23">
        <v>681.34639000000004</v>
      </c>
      <c r="N39" s="23">
        <v>997.6</v>
      </c>
      <c r="O39" s="23">
        <v>0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>
        <v>6.948E-2</v>
      </c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19"/>
      <c r="BK39" s="22"/>
      <c r="BL39" s="23"/>
      <c r="BM39" s="23"/>
      <c r="BN39" s="23"/>
      <c r="BO39" s="23"/>
      <c r="BP39" s="23"/>
      <c r="BQ39" s="23"/>
      <c r="BR39" s="23"/>
      <c r="BS39" s="22"/>
      <c r="BT39" s="23"/>
      <c r="BU39" s="23"/>
      <c r="BV39" s="23" t="e">
        <f t="shared" si="7"/>
        <v>#DIV/0!</v>
      </c>
      <c r="BW39" s="23"/>
      <c r="BX39" s="23" t="e">
        <f t="shared" si="8"/>
        <v>#DIV/0!</v>
      </c>
      <c r="BY39" s="23"/>
      <c r="BZ39" s="23" t="e">
        <f t="shared" si="67"/>
        <v>#DIV/0!</v>
      </c>
      <c r="CA39" s="23"/>
      <c r="CB39" s="23" t="e">
        <f t="shared" si="10"/>
        <v>#DIV/0!</v>
      </c>
      <c r="CC39" s="23" t="e">
        <f t="shared" si="69"/>
        <v>#DIV/0!</v>
      </c>
      <c r="CD39" s="23"/>
      <c r="CE39" s="23" t="e">
        <f t="shared" si="11"/>
        <v>#DIV/0!</v>
      </c>
      <c r="CF39" s="23" t="e">
        <f t="shared" si="70"/>
        <v>#DIV/0!</v>
      </c>
      <c r="CG39" s="23"/>
      <c r="CH39" s="23" t="e">
        <f t="shared" si="26"/>
        <v>#DIV/0!</v>
      </c>
    </row>
    <row r="40" spans="1:86" ht="63.75" hidden="1" x14ac:dyDescent="0.25">
      <c r="A40" s="9" t="s">
        <v>145</v>
      </c>
      <c r="B40" s="37" t="s">
        <v>146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19"/>
      <c r="BK40" s="22"/>
      <c r="BL40" s="23"/>
      <c r="BM40" s="23"/>
      <c r="BN40" s="23"/>
      <c r="BO40" s="23"/>
      <c r="BP40" s="23"/>
      <c r="BQ40" s="23"/>
      <c r="BR40" s="23"/>
      <c r="BS40" s="22"/>
      <c r="BT40" s="23"/>
      <c r="BU40" s="23"/>
      <c r="BV40" s="23" t="e">
        <f t="shared" si="7"/>
        <v>#DIV/0!</v>
      </c>
      <c r="BW40" s="23"/>
      <c r="BX40" s="23" t="e">
        <f t="shared" si="8"/>
        <v>#DIV/0!</v>
      </c>
      <c r="BY40" s="23"/>
      <c r="BZ40" s="23" t="e">
        <f t="shared" si="67"/>
        <v>#DIV/0!</v>
      </c>
      <c r="CA40" s="23"/>
      <c r="CB40" s="23" t="e">
        <f t="shared" si="10"/>
        <v>#DIV/0!</v>
      </c>
      <c r="CC40" s="23" t="e">
        <f t="shared" si="69"/>
        <v>#DIV/0!</v>
      </c>
      <c r="CD40" s="23"/>
      <c r="CE40" s="23" t="e">
        <f t="shared" si="11"/>
        <v>#DIV/0!</v>
      </c>
      <c r="CF40" s="23" t="e">
        <f t="shared" si="70"/>
        <v>#DIV/0!</v>
      </c>
      <c r="CG40" s="23"/>
      <c r="CH40" s="23" t="e">
        <f t="shared" si="26"/>
        <v>#DIV/0!</v>
      </c>
    </row>
    <row r="41" spans="1:86" ht="45.75" hidden="1" customHeight="1" x14ac:dyDescent="0.25">
      <c r="A41" s="9" t="s">
        <v>147</v>
      </c>
      <c r="B41" s="37" t="s">
        <v>148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>
        <v>211</v>
      </c>
      <c r="X41" s="23">
        <v>211.79230000000001</v>
      </c>
      <c r="Y41" s="23">
        <v>211.79230000000001</v>
      </c>
      <c r="Z41" s="23">
        <v>82</v>
      </c>
      <c r="AA41" s="23">
        <v>941.4</v>
      </c>
      <c r="AB41" s="23">
        <v>941.72871999999995</v>
      </c>
      <c r="AC41" s="23">
        <v>1242.02576</v>
      </c>
      <c r="AD41" s="23">
        <v>73.5</v>
      </c>
      <c r="AE41" s="23">
        <v>953.6</v>
      </c>
      <c r="AF41" s="23">
        <v>961.69272000000001</v>
      </c>
      <c r="AG41" s="23">
        <f>1023.17938-AG43</f>
        <v>1000.5659800000001</v>
      </c>
      <c r="AH41" s="23">
        <v>777.7</v>
      </c>
      <c r="AI41" s="23">
        <v>83.2</v>
      </c>
      <c r="AJ41" s="23">
        <v>83.2</v>
      </c>
      <c r="AK41" s="23">
        <v>1399.6</v>
      </c>
      <c r="AL41" s="23">
        <v>744.41305999999997</v>
      </c>
      <c r="AM41" s="23">
        <v>561.59145999999998</v>
      </c>
      <c r="AN41" s="23">
        <v>180</v>
      </c>
      <c r="AO41" s="23">
        <v>180</v>
      </c>
      <c r="AP41" s="23">
        <v>180</v>
      </c>
      <c r="AQ41" s="23"/>
      <c r="AR41" s="23"/>
      <c r="AS41" s="23"/>
      <c r="AT41" s="23">
        <v>180</v>
      </c>
      <c r="AU41" s="23">
        <v>187</v>
      </c>
      <c r="AV41" s="23">
        <v>214.06222</v>
      </c>
      <c r="AW41" s="23">
        <v>1363.87787</v>
      </c>
      <c r="AX41" s="23">
        <v>727.7</v>
      </c>
      <c r="AY41" s="23">
        <v>727.7</v>
      </c>
      <c r="AZ41" s="23">
        <v>727.7</v>
      </c>
      <c r="BA41" s="23"/>
      <c r="BB41" s="23">
        <v>727.7</v>
      </c>
      <c r="BC41" s="23">
        <v>1245.9000000000001</v>
      </c>
      <c r="BD41" s="23">
        <v>1245.9000000000001</v>
      </c>
      <c r="BE41" s="23">
        <v>678.18705</v>
      </c>
      <c r="BF41" s="23">
        <v>731.22523000000001</v>
      </c>
      <c r="BG41" s="23">
        <v>359.4</v>
      </c>
      <c r="BH41" s="23">
        <v>359.4</v>
      </c>
      <c r="BI41" s="23">
        <v>359.4</v>
      </c>
      <c r="BJ41" s="19">
        <v>868</v>
      </c>
      <c r="BK41" s="22">
        <v>868</v>
      </c>
      <c r="BL41" s="23">
        <v>798</v>
      </c>
      <c r="BM41" s="23">
        <v>798</v>
      </c>
      <c r="BN41" s="23">
        <v>794.07556</v>
      </c>
      <c r="BO41" s="23">
        <f>1241.36646-5.3838</f>
        <v>1235.9826599999999</v>
      </c>
      <c r="BP41" s="23">
        <v>579.4</v>
      </c>
      <c r="BQ41" s="23">
        <v>579.4</v>
      </c>
      <c r="BR41" s="23">
        <v>579.4</v>
      </c>
      <c r="BS41" s="22">
        <v>579.4</v>
      </c>
      <c r="BT41" s="23">
        <v>579.4</v>
      </c>
      <c r="BU41" s="23">
        <v>1639.4</v>
      </c>
      <c r="BV41" s="23">
        <f t="shared" si="7"/>
        <v>117.08798627163407</v>
      </c>
      <c r="BW41" s="23">
        <v>293.3</v>
      </c>
      <c r="BX41" s="23">
        <f t="shared" si="8"/>
        <v>23.993782722513089</v>
      </c>
      <c r="BY41" s="23">
        <v>1222.4000000000001</v>
      </c>
      <c r="BZ41" s="23">
        <f t="shared" si="67"/>
        <v>153.94001044434614</v>
      </c>
      <c r="CA41" s="23">
        <v>640.70000000000005</v>
      </c>
      <c r="CB41" s="23">
        <f t="shared" si="10"/>
        <v>52.413285340314133</v>
      </c>
      <c r="CC41" s="23">
        <f t="shared" si="69"/>
        <v>110.57991025198481</v>
      </c>
      <c r="CD41" s="23">
        <v>640.70000000000005</v>
      </c>
      <c r="CE41" s="23">
        <f t="shared" si="11"/>
        <v>100</v>
      </c>
      <c r="CF41" s="23">
        <f t="shared" si="70"/>
        <v>110.57991025198481</v>
      </c>
      <c r="CG41" s="23">
        <v>640.70000000000005</v>
      </c>
      <c r="CH41" s="23">
        <f t="shared" si="26"/>
        <v>100</v>
      </c>
    </row>
    <row r="42" spans="1:86" ht="56.25" hidden="1" customHeight="1" x14ac:dyDescent="0.25">
      <c r="A42" s="9" t="s">
        <v>149</v>
      </c>
      <c r="B42" s="37" t="s">
        <v>150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19"/>
      <c r="BK42" s="22"/>
      <c r="BL42" s="23"/>
      <c r="BM42" s="23"/>
      <c r="BN42" s="23">
        <f>0.02284</f>
        <v>2.2839999999999999E-2</v>
      </c>
      <c r="BO42" s="23">
        <v>2.2839999999999999E-2</v>
      </c>
      <c r="BP42" s="23"/>
      <c r="BQ42" s="23"/>
      <c r="BR42" s="23"/>
      <c r="BS42" s="22"/>
      <c r="BT42" s="23"/>
      <c r="BU42" s="23"/>
      <c r="BV42" s="23" t="e">
        <f t="shared" si="7"/>
        <v>#DIV/0!</v>
      </c>
      <c r="BW42" s="23"/>
      <c r="BX42" s="23" t="e">
        <f t="shared" si="8"/>
        <v>#DIV/0!</v>
      </c>
      <c r="BY42" s="23"/>
      <c r="BZ42" s="23">
        <f t="shared" si="67"/>
        <v>0</v>
      </c>
      <c r="CA42" s="23"/>
      <c r="CB42" s="23" t="e">
        <f t="shared" si="10"/>
        <v>#DIV/0!</v>
      </c>
      <c r="CC42" s="23" t="e">
        <f t="shared" si="69"/>
        <v>#DIV/0!</v>
      </c>
      <c r="CD42" s="23"/>
      <c r="CE42" s="23" t="e">
        <f t="shared" si="11"/>
        <v>#DIV/0!</v>
      </c>
      <c r="CF42" s="23" t="e">
        <f t="shared" si="70"/>
        <v>#DIV/0!</v>
      </c>
      <c r="CG42" s="23"/>
      <c r="CH42" s="23" t="e">
        <f t="shared" si="26"/>
        <v>#DIV/0!</v>
      </c>
    </row>
    <row r="43" spans="1:86" ht="56.25" hidden="1" customHeight="1" x14ac:dyDescent="0.25">
      <c r="A43" s="9" t="s">
        <v>151</v>
      </c>
      <c r="B43" s="37" t="s">
        <v>152</v>
      </c>
      <c r="C43" s="23">
        <v>89.314459999999997</v>
      </c>
      <c r="D43" s="23">
        <v>0</v>
      </c>
      <c r="E43" s="23">
        <v>261.2</v>
      </c>
      <c r="F43" s="23">
        <v>257.57454999999999</v>
      </c>
      <c r="G43" s="23">
        <v>152</v>
      </c>
      <c r="H43" s="23">
        <v>14</v>
      </c>
      <c r="I43" s="23">
        <v>18.25638</v>
      </c>
      <c r="J43" s="23">
        <v>8</v>
      </c>
      <c r="K43" s="23">
        <v>259</v>
      </c>
      <c r="L43" s="23">
        <v>258.55367000000001</v>
      </c>
      <c r="M43" s="23">
        <v>258.55367000000001</v>
      </c>
      <c r="N43" s="23">
        <v>300</v>
      </c>
      <c r="O43" s="23">
        <v>469.6</v>
      </c>
      <c r="P43" s="23">
        <v>155.59934000000001</v>
      </c>
      <c r="Q43" s="23">
        <v>155.59934000000001</v>
      </c>
      <c r="R43" s="23">
        <v>145</v>
      </c>
      <c r="S43" s="23">
        <v>496.2</v>
      </c>
      <c r="T43" s="23">
        <v>496.20251999999999</v>
      </c>
      <c r="U43" s="23">
        <f>541.96591</f>
        <v>541.96591000000001</v>
      </c>
      <c r="V43" s="23">
        <v>156</v>
      </c>
      <c r="W43" s="23">
        <v>37.799999999999997</v>
      </c>
      <c r="X43" s="23">
        <v>43.23621</v>
      </c>
      <c r="Y43" s="23">
        <v>15.97282</v>
      </c>
      <c r="Z43" s="23">
        <v>78</v>
      </c>
      <c r="AA43" s="23">
        <v>72.900000000000006</v>
      </c>
      <c r="AB43" s="23">
        <v>72.897649999999999</v>
      </c>
      <c r="AC43" s="23">
        <f>54.39765</f>
        <v>54.397649999999999</v>
      </c>
      <c r="AD43" s="23">
        <v>93.3</v>
      </c>
      <c r="AE43" s="23">
        <v>23.3</v>
      </c>
      <c r="AF43" s="23">
        <v>22.613399999999999</v>
      </c>
      <c r="AG43" s="23">
        <v>22.613399999999999</v>
      </c>
      <c r="AH43" s="23">
        <v>76.3</v>
      </c>
      <c r="AI43" s="23">
        <v>76.3</v>
      </c>
      <c r="AJ43" s="23">
        <v>76.3</v>
      </c>
      <c r="AK43" s="23">
        <v>22.1</v>
      </c>
      <c r="AL43" s="23">
        <v>22.083639999999999</v>
      </c>
      <c r="AM43" s="23">
        <v>22.083639999999999</v>
      </c>
      <c r="AN43" s="23">
        <v>76.3</v>
      </c>
      <c r="AO43" s="23">
        <v>76.3</v>
      </c>
      <c r="AP43" s="23">
        <v>76.3</v>
      </c>
      <c r="AQ43" s="23"/>
      <c r="AR43" s="23"/>
      <c r="AS43" s="23"/>
      <c r="AT43" s="23">
        <v>76.3</v>
      </c>
      <c r="AU43" s="23">
        <v>0</v>
      </c>
      <c r="AV43" s="23">
        <v>0</v>
      </c>
      <c r="AW43" s="23">
        <v>0</v>
      </c>
      <c r="AX43" s="23">
        <v>78.2</v>
      </c>
      <c r="AY43" s="23">
        <v>78.2</v>
      </c>
      <c r="AZ43" s="23">
        <v>78.2</v>
      </c>
      <c r="BA43" s="23"/>
      <c r="BB43" s="23">
        <v>78.2</v>
      </c>
      <c r="BC43" s="23">
        <v>78.2</v>
      </c>
      <c r="BD43" s="23">
        <v>0</v>
      </c>
      <c r="BE43" s="23">
        <v>0</v>
      </c>
      <c r="BF43" s="23">
        <v>78.2</v>
      </c>
      <c r="BG43" s="23">
        <v>78.2</v>
      </c>
      <c r="BH43" s="23">
        <v>78.2</v>
      </c>
      <c r="BI43" s="23">
        <v>78.2</v>
      </c>
      <c r="BJ43" s="19">
        <v>78.2</v>
      </c>
      <c r="BK43" s="22">
        <v>78.2</v>
      </c>
      <c r="BL43" s="23">
        <v>23.4</v>
      </c>
      <c r="BM43" s="23">
        <v>23.4</v>
      </c>
      <c r="BN43" s="23">
        <v>16.690930000000002</v>
      </c>
      <c r="BO43" s="23">
        <v>0</v>
      </c>
      <c r="BP43" s="23">
        <v>134.1</v>
      </c>
      <c r="BQ43" s="23">
        <v>134.1</v>
      </c>
      <c r="BR43" s="23">
        <v>134.1</v>
      </c>
      <c r="BS43" s="22">
        <v>134.1</v>
      </c>
      <c r="BT43" s="23">
        <v>134.1</v>
      </c>
      <c r="BU43" s="23">
        <v>134.1</v>
      </c>
      <c r="BV43" s="23" t="e">
        <f t="shared" si="7"/>
        <v>#DIV/0!</v>
      </c>
      <c r="BW43" s="23">
        <v>20.5</v>
      </c>
      <c r="BX43" s="23">
        <f t="shared" si="8"/>
        <v>100</v>
      </c>
      <c r="BY43" s="23">
        <v>20.5</v>
      </c>
      <c r="BZ43" s="23">
        <f t="shared" si="67"/>
        <v>122.82119690155071</v>
      </c>
      <c r="CA43" s="23">
        <v>112.8</v>
      </c>
      <c r="CB43" s="23">
        <f t="shared" si="10"/>
        <v>550.2439024390244</v>
      </c>
      <c r="CC43" s="23">
        <f t="shared" si="69"/>
        <v>84.116331096196873</v>
      </c>
      <c r="CD43" s="23">
        <v>112.8</v>
      </c>
      <c r="CE43" s="23">
        <f t="shared" si="11"/>
        <v>100</v>
      </c>
      <c r="CF43" s="23">
        <f t="shared" si="70"/>
        <v>84.116331096196873</v>
      </c>
      <c r="CG43" s="23">
        <v>112.8</v>
      </c>
      <c r="CH43" s="23">
        <f t="shared" si="26"/>
        <v>100</v>
      </c>
    </row>
    <row r="44" spans="1:86" ht="22.5" hidden="1" customHeight="1" x14ac:dyDescent="0.25">
      <c r="A44" s="9" t="s">
        <v>153</v>
      </c>
      <c r="B44" s="37" t="s">
        <v>154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>
        <v>11674.614799999999</v>
      </c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>
        <v>-377.64654999999999</v>
      </c>
      <c r="BG44" s="23"/>
      <c r="BH44" s="23"/>
      <c r="BI44" s="23"/>
      <c r="BJ44" s="19"/>
      <c r="BK44" s="22"/>
      <c r="BL44" s="23"/>
      <c r="BM44" s="23"/>
      <c r="BN44" s="23"/>
      <c r="BO44" s="23"/>
      <c r="BP44" s="23"/>
      <c r="BQ44" s="23"/>
      <c r="BR44" s="23"/>
      <c r="BS44" s="22"/>
      <c r="BT44" s="23"/>
      <c r="BU44" s="23"/>
      <c r="BV44" s="23" t="e">
        <f t="shared" si="7"/>
        <v>#DIV/0!</v>
      </c>
      <c r="BW44" s="23"/>
      <c r="BX44" s="23" t="e">
        <f t="shared" si="8"/>
        <v>#DIV/0!</v>
      </c>
      <c r="BY44" s="23"/>
      <c r="BZ44" s="23" t="e">
        <f t="shared" si="67"/>
        <v>#DIV/0!</v>
      </c>
      <c r="CA44" s="23"/>
      <c r="CB44" s="23" t="e">
        <f t="shared" si="10"/>
        <v>#DIV/0!</v>
      </c>
      <c r="CC44" s="23" t="e">
        <f t="shared" si="69"/>
        <v>#DIV/0!</v>
      </c>
      <c r="CD44" s="23"/>
      <c r="CE44" s="23" t="e">
        <f t="shared" si="11"/>
        <v>#DIV/0!</v>
      </c>
      <c r="CF44" s="23" t="e">
        <f t="shared" si="70"/>
        <v>#DIV/0!</v>
      </c>
      <c r="CG44" s="23"/>
      <c r="CH44" s="23" t="e">
        <f t="shared" si="26"/>
        <v>#DIV/0!</v>
      </c>
    </row>
    <row r="45" spans="1:86" ht="42" customHeight="1" x14ac:dyDescent="0.25">
      <c r="A45" s="17" t="s">
        <v>155</v>
      </c>
      <c r="B45" s="18" t="s">
        <v>156</v>
      </c>
      <c r="C45" s="19">
        <f>C46</f>
        <v>112.20399999999999</v>
      </c>
      <c r="D45" s="19">
        <f>D46</f>
        <v>0</v>
      </c>
      <c r="E45" s="19">
        <f>E46</f>
        <v>0</v>
      </c>
      <c r="F45" s="19">
        <f>F46+F47</f>
        <v>0</v>
      </c>
      <c r="G45" s="19">
        <f>G46</f>
        <v>0</v>
      </c>
      <c r="H45" s="19">
        <f>H46</f>
        <v>0</v>
      </c>
      <c r="I45" s="19">
        <f>I46+I47</f>
        <v>0</v>
      </c>
      <c r="J45" s="19">
        <f>J46</f>
        <v>0</v>
      </c>
      <c r="K45" s="19">
        <f>K46</f>
        <v>0</v>
      </c>
      <c r="L45" s="19">
        <f>L46+L47</f>
        <v>0</v>
      </c>
      <c r="M45" s="19">
        <f>M46+M47</f>
        <v>0</v>
      </c>
      <c r="N45" s="19">
        <f>N46</f>
        <v>0</v>
      </c>
      <c r="O45" s="19">
        <f>O46</f>
        <v>0</v>
      </c>
      <c r="P45" s="19">
        <f>P46+P47</f>
        <v>0</v>
      </c>
      <c r="Q45" s="19">
        <f>Q46+Q47</f>
        <v>0</v>
      </c>
      <c r="R45" s="19">
        <f>R46</f>
        <v>0</v>
      </c>
      <c r="S45" s="19">
        <f>S46+S47</f>
        <v>35</v>
      </c>
      <c r="T45" s="19">
        <f>T46+T47</f>
        <v>35</v>
      </c>
      <c r="U45" s="19">
        <f>U46+U47</f>
        <v>35</v>
      </c>
      <c r="V45" s="19">
        <f>V46</f>
        <v>0</v>
      </c>
      <c r="W45" s="19">
        <f>W46+W47</f>
        <v>26</v>
      </c>
      <c r="X45" s="19">
        <f>X46+X47</f>
        <v>43.566580000000002</v>
      </c>
      <c r="Y45" s="19">
        <f>Y46+Y47</f>
        <v>43.566580000000002</v>
      </c>
      <c r="Z45" s="19">
        <f>Z46</f>
        <v>0</v>
      </c>
      <c r="AA45" s="19">
        <f>AA46+AA47</f>
        <v>54</v>
      </c>
      <c r="AB45" s="19">
        <f>AB46+AB47</f>
        <v>68.917529999999999</v>
      </c>
      <c r="AC45" s="19">
        <f>AC46+AC47</f>
        <v>104.99227999999999</v>
      </c>
      <c r="AD45" s="19">
        <f>AD46</f>
        <v>0</v>
      </c>
      <c r="AE45" s="19">
        <f>AE46+AE47</f>
        <v>141</v>
      </c>
      <c r="AF45" s="19">
        <f>AF46+AF47</f>
        <v>172.66293999999999</v>
      </c>
      <c r="AG45" s="19">
        <f>AG46+AG47</f>
        <v>136.58819</v>
      </c>
      <c r="AH45" s="19">
        <f>AH46</f>
        <v>0</v>
      </c>
      <c r="AI45" s="19">
        <f>AI46</f>
        <v>0</v>
      </c>
      <c r="AJ45" s="19">
        <f>AJ46</f>
        <v>0</v>
      </c>
      <c r="AK45" s="19">
        <f>AK46+AK47</f>
        <v>938</v>
      </c>
      <c r="AL45" s="19">
        <f>AL46+AL47</f>
        <v>960.81014000000005</v>
      </c>
      <c r="AM45" s="19">
        <f>AM46+AM47</f>
        <v>1055.57809</v>
      </c>
      <c r="AN45" s="19">
        <f>AN46</f>
        <v>0</v>
      </c>
      <c r="AO45" s="19">
        <f>AO46</f>
        <v>0</v>
      </c>
      <c r="AP45" s="19">
        <f>AP46</f>
        <v>0</v>
      </c>
      <c r="AQ45" s="19">
        <v>500</v>
      </c>
      <c r="AR45" s="19">
        <v>500</v>
      </c>
      <c r="AS45" s="19">
        <v>900</v>
      </c>
      <c r="AT45" s="19">
        <f>AT46+AT47</f>
        <v>1150</v>
      </c>
      <c r="AU45" s="19">
        <f>AU46+AU47</f>
        <v>1150</v>
      </c>
      <c r="AV45" s="19">
        <f>AV46+AV47</f>
        <v>1312.9601399999999</v>
      </c>
      <c r="AW45" s="19">
        <f>AW46+AW47</f>
        <v>1339.98534</v>
      </c>
      <c r="AX45" s="19">
        <f>AX46</f>
        <v>0</v>
      </c>
      <c r="AY45" s="19">
        <f>AY46</f>
        <v>0</v>
      </c>
      <c r="AZ45" s="19">
        <f>AZ46</f>
        <v>0</v>
      </c>
      <c r="BA45" s="19">
        <v>500</v>
      </c>
      <c r="BB45" s="19">
        <v>1000</v>
      </c>
      <c r="BC45" s="19">
        <v>1300</v>
      </c>
      <c r="BD45" s="19">
        <v>1300</v>
      </c>
      <c r="BE45" s="19">
        <f>BE46+BE47</f>
        <v>1381.8450800000001</v>
      </c>
      <c r="BF45" s="19">
        <f>BF46+BF47</f>
        <v>1462.45271</v>
      </c>
      <c r="BG45" s="19">
        <f>BG46+BG47</f>
        <v>1252.5</v>
      </c>
      <c r="BH45" s="19">
        <f t="shared" ref="BH45:BL45" si="71">BH46+BH47</f>
        <v>1349.7</v>
      </c>
      <c r="BI45" s="19">
        <f t="shared" si="71"/>
        <v>1361.9</v>
      </c>
      <c r="BJ45" s="19">
        <f t="shared" si="71"/>
        <v>1252.5</v>
      </c>
      <c r="BK45" s="19">
        <f t="shared" si="71"/>
        <v>1252.5</v>
      </c>
      <c r="BL45" s="19">
        <f t="shared" si="71"/>
        <v>1552.5</v>
      </c>
      <c r="BM45" s="19">
        <f>BM46+BM47</f>
        <v>1552.8</v>
      </c>
      <c r="BN45" s="19">
        <f>BN46+BN47</f>
        <v>1707.16426</v>
      </c>
      <c r="BO45" s="19">
        <f>BO46+BO47</f>
        <v>1719.8685800000001</v>
      </c>
      <c r="BP45" s="19">
        <f>BP46+BP47</f>
        <v>1386.6</v>
      </c>
      <c r="BQ45" s="19">
        <f t="shared" ref="BQ45:BR45" si="72">BQ46+BQ47</f>
        <v>1411</v>
      </c>
      <c r="BR45" s="19">
        <f t="shared" si="72"/>
        <v>1421</v>
      </c>
      <c r="BS45" s="19">
        <f>BS46+BS47</f>
        <v>1386.6</v>
      </c>
      <c r="BT45" s="19">
        <f>BT46+BT47</f>
        <v>1386.6</v>
      </c>
      <c r="BU45" s="19">
        <f>BU46+BU47</f>
        <v>1386.6</v>
      </c>
      <c r="BV45" s="23">
        <f t="shared" si="7"/>
        <v>123.54237712378004</v>
      </c>
      <c r="BW45" s="19">
        <f>BW46+BW47</f>
        <v>1138.0999999999999</v>
      </c>
      <c r="BX45" s="23">
        <f t="shared" si="8"/>
        <v>74.874999999999986</v>
      </c>
      <c r="BY45" s="19">
        <f>BY46+BY47</f>
        <v>1520</v>
      </c>
      <c r="BZ45" s="23">
        <f t="shared" si="67"/>
        <v>89.036540631421133</v>
      </c>
      <c r="CA45" s="19">
        <f>CA46+CA47</f>
        <v>1546.4</v>
      </c>
      <c r="CB45" s="23">
        <f t="shared" si="10"/>
        <v>101.73684210526316</v>
      </c>
      <c r="CC45" s="23">
        <f t="shared" si="69"/>
        <v>109.59603118355776</v>
      </c>
      <c r="CD45" s="19">
        <f t="shared" ref="CD45" si="73">CD46+CD47</f>
        <v>1601.3</v>
      </c>
      <c r="CE45" s="23">
        <f t="shared" si="11"/>
        <v>103.55018106570097</v>
      </c>
      <c r="CF45" s="23">
        <f t="shared" si="70"/>
        <v>112.68824771287824</v>
      </c>
      <c r="CG45" s="19">
        <f t="shared" ref="CG45" si="74">CG46+CG47</f>
        <v>1646.7</v>
      </c>
      <c r="CH45" s="23">
        <f t="shared" si="26"/>
        <v>102.83519640292262</v>
      </c>
    </row>
    <row r="46" spans="1:86" ht="0.75" hidden="1" customHeight="1" x14ac:dyDescent="0.25">
      <c r="A46" s="9" t="s">
        <v>157</v>
      </c>
      <c r="B46" s="38" t="s">
        <v>158</v>
      </c>
      <c r="C46" s="23">
        <v>112.20399999999999</v>
      </c>
      <c r="D46" s="23">
        <v>0</v>
      </c>
      <c r="E46" s="23">
        <v>0</v>
      </c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19"/>
      <c r="BK46" s="22"/>
      <c r="BL46" s="23"/>
      <c r="BM46" s="23"/>
      <c r="BN46" s="23"/>
      <c r="BO46" s="23"/>
      <c r="BP46" s="23"/>
      <c r="BQ46" s="23"/>
      <c r="BR46" s="23"/>
      <c r="BS46" s="22"/>
      <c r="BT46" s="23"/>
      <c r="BU46" s="23"/>
      <c r="BV46" s="23" t="e">
        <f t="shared" si="7"/>
        <v>#DIV/0!</v>
      </c>
      <c r="BW46" s="23"/>
      <c r="BX46" s="23" t="e">
        <f t="shared" si="8"/>
        <v>#DIV/0!</v>
      </c>
      <c r="BY46" s="23"/>
      <c r="BZ46" s="23" t="e">
        <f t="shared" si="67"/>
        <v>#DIV/0!</v>
      </c>
      <c r="CA46" s="23"/>
      <c r="CB46" s="23" t="e">
        <f t="shared" si="10"/>
        <v>#DIV/0!</v>
      </c>
      <c r="CC46" s="23" t="e">
        <f t="shared" si="69"/>
        <v>#DIV/0!</v>
      </c>
      <c r="CD46" s="23"/>
      <c r="CE46" s="23" t="e">
        <f t="shared" si="11"/>
        <v>#DIV/0!</v>
      </c>
      <c r="CF46" s="23" t="e">
        <f t="shared" si="70"/>
        <v>#DIV/0!</v>
      </c>
      <c r="CG46" s="23"/>
      <c r="CH46" s="23" t="e">
        <f t="shared" si="26"/>
        <v>#DIV/0!</v>
      </c>
    </row>
    <row r="47" spans="1:86" ht="24.75" hidden="1" customHeight="1" x14ac:dyDescent="0.25">
      <c r="A47" s="9" t="s">
        <v>159</v>
      </c>
      <c r="B47" s="38" t="s">
        <v>160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35</v>
      </c>
      <c r="T47" s="23">
        <v>35</v>
      </c>
      <c r="U47" s="23">
        <v>35</v>
      </c>
      <c r="V47" s="23">
        <v>0</v>
      </c>
      <c r="W47" s="23">
        <v>26</v>
      </c>
      <c r="X47" s="23">
        <v>43.566580000000002</v>
      </c>
      <c r="Y47" s="23">
        <v>43.566580000000002</v>
      </c>
      <c r="Z47" s="23">
        <v>0</v>
      </c>
      <c r="AA47" s="23">
        <v>54</v>
      </c>
      <c r="AB47" s="23">
        <v>68.917529999999999</v>
      </c>
      <c r="AC47" s="23">
        <v>104.99227999999999</v>
      </c>
      <c r="AD47" s="23">
        <v>0</v>
      </c>
      <c r="AE47" s="23">
        <v>141</v>
      </c>
      <c r="AF47" s="23">
        <v>172.66293999999999</v>
      </c>
      <c r="AG47" s="23">
        <v>136.58819</v>
      </c>
      <c r="AH47" s="23">
        <v>0</v>
      </c>
      <c r="AI47" s="23">
        <v>0</v>
      </c>
      <c r="AJ47" s="23">
        <v>0</v>
      </c>
      <c r="AK47" s="23">
        <v>938</v>
      </c>
      <c r="AL47" s="23">
        <v>960.81014000000005</v>
      </c>
      <c r="AM47" s="23">
        <v>1055.57809</v>
      </c>
      <c r="AN47" s="23">
        <v>0</v>
      </c>
      <c r="AO47" s="23">
        <v>3</v>
      </c>
      <c r="AP47" s="23">
        <v>6</v>
      </c>
      <c r="AQ47" s="23"/>
      <c r="AR47" s="23"/>
      <c r="AS47" s="23"/>
      <c r="AT47" s="23">
        <v>1150</v>
      </c>
      <c r="AU47" s="23">
        <v>1150</v>
      </c>
      <c r="AV47" s="23">
        <v>1312.9601399999999</v>
      </c>
      <c r="AW47" s="23">
        <v>1339.98534</v>
      </c>
      <c r="AX47" s="23">
        <v>0</v>
      </c>
      <c r="AY47" s="23">
        <v>0</v>
      </c>
      <c r="AZ47" s="23">
        <v>0</v>
      </c>
      <c r="BA47" s="23"/>
      <c r="BB47" s="23">
        <v>2</v>
      </c>
      <c r="BC47" s="23">
        <v>1300</v>
      </c>
      <c r="BD47" s="23">
        <v>1300</v>
      </c>
      <c r="BE47" s="23">
        <v>1381.8450800000001</v>
      </c>
      <c r="BF47" s="23">
        <v>1462.45271</v>
      </c>
      <c r="BG47" s="23">
        <v>1252.5</v>
      </c>
      <c r="BH47" s="23">
        <v>1349.7</v>
      </c>
      <c r="BI47" s="23">
        <v>1361.9</v>
      </c>
      <c r="BJ47" s="19">
        <v>1252.5</v>
      </c>
      <c r="BK47" s="22">
        <v>1252.5</v>
      </c>
      <c r="BL47" s="23">
        <v>1552.5</v>
      </c>
      <c r="BM47" s="23">
        <v>1552.8</v>
      </c>
      <c r="BN47" s="23">
        <v>1707.16426</v>
      </c>
      <c r="BO47" s="23">
        <v>1719.8685800000001</v>
      </c>
      <c r="BP47" s="23">
        <v>1386.6</v>
      </c>
      <c r="BQ47" s="23">
        <v>1411</v>
      </c>
      <c r="BR47" s="23">
        <v>1421</v>
      </c>
      <c r="BS47" s="22">
        <v>1386.6</v>
      </c>
      <c r="BT47" s="23">
        <v>1386.6</v>
      </c>
      <c r="BU47" s="23">
        <v>1386.6</v>
      </c>
      <c r="BV47" s="23">
        <f t="shared" si="7"/>
        <v>123.54237712378004</v>
      </c>
      <c r="BW47" s="23">
        <v>1138.0999999999999</v>
      </c>
      <c r="BX47" s="23">
        <f t="shared" si="8"/>
        <v>74.874999999999986</v>
      </c>
      <c r="BY47" s="23">
        <v>1520</v>
      </c>
      <c r="BZ47" s="23">
        <f t="shared" si="67"/>
        <v>89.036540631421133</v>
      </c>
      <c r="CA47" s="23">
        <v>1546.4</v>
      </c>
      <c r="CB47" s="23">
        <f t="shared" si="10"/>
        <v>101.73684210526316</v>
      </c>
      <c r="CC47" s="23">
        <f t="shared" si="69"/>
        <v>109.59603118355776</v>
      </c>
      <c r="CD47" s="23">
        <v>1601.3</v>
      </c>
      <c r="CE47" s="23">
        <f t="shared" si="11"/>
        <v>103.55018106570097</v>
      </c>
      <c r="CF47" s="23">
        <f t="shared" si="70"/>
        <v>112.68824771287824</v>
      </c>
      <c r="CG47" s="23">
        <v>1646.7</v>
      </c>
      <c r="CH47" s="23">
        <f t="shared" si="26"/>
        <v>102.83519640292262</v>
      </c>
    </row>
    <row r="48" spans="1:86" ht="22.5" hidden="1" customHeight="1" x14ac:dyDescent="0.25">
      <c r="A48" s="9"/>
      <c r="B48" s="38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19"/>
      <c r="BK48" s="22"/>
      <c r="BL48" s="23"/>
      <c r="BM48" s="23"/>
      <c r="BN48" s="23"/>
      <c r="BO48" s="23"/>
      <c r="BP48" s="23"/>
      <c r="BQ48" s="23"/>
      <c r="BR48" s="23"/>
      <c r="BS48" s="22"/>
      <c r="BT48" s="23"/>
      <c r="BU48" s="23"/>
      <c r="BV48" s="23" t="e">
        <f t="shared" si="7"/>
        <v>#DIV/0!</v>
      </c>
      <c r="BW48" s="23"/>
      <c r="BX48" s="23" t="e">
        <f t="shared" si="8"/>
        <v>#DIV/0!</v>
      </c>
      <c r="BY48" s="23"/>
      <c r="BZ48" s="23" t="e">
        <f t="shared" si="67"/>
        <v>#DIV/0!</v>
      </c>
      <c r="CA48" s="23"/>
      <c r="CB48" s="23" t="e">
        <f t="shared" si="10"/>
        <v>#DIV/0!</v>
      </c>
      <c r="CC48" s="23" t="e">
        <f t="shared" si="69"/>
        <v>#DIV/0!</v>
      </c>
      <c r="CD48" s="23"/>
      <c r="CE48" s="23" t="e">
        <f t="shared" si="11"/>
        <v>#DIV/0!</v>
      </c>
      <c r="CF48" s="23" t="e">
        <f t="shared" si="70"/>
        <v>#DIV/0!</v>
      </c>
      <c r="CG48" s="23"/>
      <c r="CH48" s="23" t="e">
        <f t="shared" si="26"/>
        <v>#DIV/0!</v>
      </c>
    </row>
    <row r="49" spans="1:86" ht="29.25" hidden="1" customHeight="1" x14ac:dyDescent="0.25">
      <c r="A49" s="17" t="s">
        <v>161</v>
      </c>
      <c r="B49" s="18" t="s">
        <v>162</v>
      </c>
      <c r="C49" s="19">
        <f>C53+C50</f>
        <v>138.38155</v>
      </c>
      <c r="D49" s="19">
        <f>D53+D50</f>
        <v>0</v>
      </c>
      <c r="E49" s="19">
        <f>E53+E50+E51</f>
        <v>14.8</v>
      </c>
      <c r="F49" s="19">
        <f>F53+F50+F51</f>
        <v>18.445499999999999</v>
      </c>
      <c r="G49" s="19">
        <f>G53+G50</f>
        <v>8</v>
      </c>
      <c r="H49" s="19">
        <f>H53+H50+H51</f>
        <v>43.8</v>
      </c>
      <c r="I49" s="19">
        <f>I53+I50+I51</f>
        <v>44.074260000000002</v>
      </c>
      <c r="J49" s="19">
        <f>J53+J50</f>
        <v>71</v>
      </c>
      <c r="K49" s="19">
        <f>K53+K50+K51</f>
        <v>247</v>
      </c>
      <c r="L49" s="19">
        <f>L53+L50+L51</f>
        <v>246.31367</v>
      </c>
      <c r="M49" s="19">
        <f>M53+M50+M51</f>
        <v>246.31367</v>
      </c>
      <c r="N49" s="19">
        <f>N53+N50</f>
        <v>71</v>
      </c>
      <c r="O49" s="19">
        <f>O53+O50+O51</f>
        <v>0</v>
      </c>
      <c r="P49" s="19"/>
      <c r="Q49" s="19">
        <f>Q53+Q50+Q51</f>
        <v>-43900.86881</v>
      </c>
      <c r="R49" s="19">
        <f>R53+R50</f>
        <v>0</v>
      </c>
      <c r="S49" s="19">
        <f>S53+S50+S51</f>
        <v>96</v>
      </c>
      <c r="T49" s="19">
        <f>T50</f>
        <v>96.037000000000006</v>
      </c>
      <c r="U49" s="19">
        <f>U53+U50+U51</f>
        <v>-8566.3933699999998</v>
      </c>
      <c r="V49" s="19">
        <f>V53+V50</f>
        <v>0</v>
      </c>
      <c r="W49" s="19">
        <f>W53+W50+W51</f>
        <v>0</v>
      </c>
      <c r="X49" s="19">
        <f>X50</f>
        <v>0</v>
      </c>
      <c r="Y49" s="19">
        <f>Y53+Y50+Y51</f>
        <v>-2.8206000000000002</v>
      </c>
      <c r="Z49" s="19">
        <f>Z53+Z50</f>
        <v>0</v>
      </c>
      <c r="AA49" s="19">
        <f>AA53+AA50+AA51</f>
        <v>0</v>
      </c>
      <c r="AB49" s="19">
        <f>AB50</f>
        <v>0</v>
      </c>
      <c r="AC49" s="19">
        <f>AC53+AC50+AC51+AC24+AC32+AC44</f>
        <v>1771.83907</v>
      </c>
      <c r="AD49" s="19">
        <f>AD53+AD50</f>
        <v>0</v>
      </c>
      <c r="AE49" s="19">
        <f>AE53+AE50+AE51</f>
        <v>0</v>
      </c>
      <c r="AF49" s="19">
        <f>AF50</f>
        <v>0</v>
      </c>
      <c r="AG49" s="19">
        <f>AG53+AG50+AG51+AG24+AG32+AG44</f>
        <v>-32195.580480000001</v>
      </c>
      <c r="AH49" s="19">
        <f>AH53+AH50</f>
        <v>0</v>
      </c>
      <c r="AI49" s="19">
        <f>AI53+AI50</f>
        <v>0</v>
      </c>
      <c r="AJ49" s="19">
        <f>AJ53+AJ50</f>
        <v>0</v>
      </c>
      <c r="AK49" s="19">
        <f>AK53+AK50+AK51</f>
        <v>0</v>
      </c>
      <c r="AL49" s="19">
        <f>AL50</f>
        <v>0</v>
      </c>
      <c r="AM49" s="19">
        <f>AM53+AM50+AM51+AM24+AM32+AM44+AM30</f>
        <v>-167.15698</v>
      </c>
      <c r="AN49" s="19">
        <f>AN53+AN50</f>
        <v>0</v>
      </c>
      <c r="AO49" s="19">
        <f>AO53+AO50</f>
        <v>3</v>
      </c>
      <c r="AP49" s="19">
        <f>AP53+AP50</f>
        <v>6</v>
      </c>
      <c r="AQ49" s="19">
        <v>0</v>
      </c>
      <c r="AR49" s="19">
        <v>0</v>
      </c>
      <c r="AS49" s="19"/>
      <c r="AT49" s="19">
        <f>AT50</f>
        <v>0</v>
      </c>
      <c r="AU49" s="19">
        <f>AU50</f>
        <v>0</v>
      </c>
      <c r="AV49" s="19">
        <f>AV50</f>
        <v>0</v>
      </c>
      <c r="AW49" s="19">
        <v>-9227.5849400000006</v>
      </c>
      <c r="AX49" s="19">
        <f>AX53+AX50</f>
        <v>0</v>
      </c>
      <c r="AY49" s="19">
        <f>AY53+AY50</f>
        <v>0</v>
      </c>
      <c r="AZ49" s="19">
        <f>AZ53+AZ50</f>
        <v>0</v>
      </c>
      <c r="BA49" s="19">
        <v>0</v>
      </c>
      <c r="BB49" s="19">
        <v>0</v>
      </c>
      <c r="BC49" s="19"/>
      <c r="BD49" s="19"/>
      <c r="BE49" s="19"/>
      <c r="BF49" s="19">
        <v>-23459.610619999999</v>
      </c>
      <c r="BG49" s="19">
        <f>BG53+BG50</f>
        <v>0</v>
      </c>
      <c r="BH49" s="19">
        <f>BH53+BH50</f>
        <v>0</v>
      </c>
      <c r="BI49" s="19">
        <f>BI53+BI50</f>
        <v>0</v>
      </c>
      <c r="BJ49" s="20">
        <f>BJ53+BJ50</f>
        <v>0</v>
      </c>
      <c r="BK49" s="21">
        <f>BK53+BK50</f>
        <v>0</v>
      </c>
      <c r="BL49" s="19"/>
      <c r="BM49" s="19">
        <f>BM53+BM50</f>
        <v>0</v>
      </c>
      <c r="BN49" s="19"/>
      <c r="BO49" s="19">
        <f>BO50</f>
        <v>-7960.4659600000005</v>
      </c>
      <c r="BP49" s="19">
        <f>BP53+BP50</f>
        <v>0</v>
      </c>
      <c r="BQ49" s="19">
        <f>BQ53+BQ50</f>
        <v>0</v>
      </c>
      <c r="BR49" s="19">
        <f>BR53+BR50</f>
        <v>0</v>
      </c>
      <c r="BS49" s="21"/>
      <c r="BT49" s="19"/>
      <c r="BU49" s="19">
        <f>BU50</f>
        <v>115</v>
      </c>
      <c r="BV49" s="23" t="e">
        <f t="shared" si="7"/>
        <v>#DIV/0!</v>
      </c>
      <c r="BW49" s="19">
        <f>BW50</f>
        <v>0</v>
      </c>
      <c r="BX49" s="23" t="e">
        <f t="shared" si="8"/>
        <v>#DIV/0!</v>
      </c>
      <c r="BY49" s="19">
        <f>BY50</f>
        <v>0</v>
      </c>
      <c r="BZ49" s="23" t="e">
        <f t="shared" si="67"/>
        <v>#DIV/0!</v>
      </c>
      <c r="CA49" s="19">
        <f>CA53+CA50</f>
        <v>0</v>
      </c>
      <c r="CB49" s="23" t="e">
        <f t="shared" si="10"/>
        <v>#DIV/0!</v>
      </c>
      <c r="CC49" s="23" t="e">
        <f t="shared" si="69"/>
        <v>#DIV/0!</v>
      </c>
      <c r="CD49" s="19">
        <f>CD53+CD50</f>
        <v>0</v>
      </c>
      <c r="CE49" s="23" t="e">
        <f t="shared" si="11"/>
        <v>#DIV/0!</v>
      </c>
      <c r="CF49" s="23" t="e">
        <f t="shared" si="70"/>
        <v>#DIV/0!</v>
      </c>
      <c r="CG49" s="19">
        <f>CG53+CG50</f>
        <v>0</v>
      </c>
      <c r="CH49" s="23" t="e">
        <f t="shared" si="26"/>
        <v>#DIV/0!</v>
      </c>
    </row>
    <row r="50" spans="1:86" ht="22.5" hidden="1" customHeight="1" x14ac:dyDescent="0.25">
      <c r="A50" s="9" t="s">
        <v>163</v>
      </c>
      <c r="B50" s="37" t="s">
        <v>164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/>
      <c r="Q50" s="23">
        <v>-43900.86881</v>
      </c>
      <c r="R50" s="23">
        <v>0</v>
      </c>
      <c r="S50" s="23">
        <v>96</v>
      </c>
      <c r="T50" s="23">
        <v>96.037000000000006</v>
      </c>
      <c r="U50" s="23">
        <f>-8394.94895+96.03699-267.48141</f>
        <v>-8566.3933699999998</v>
      </c>
      <c r="V50" s="23">
        <v>0</v>
      </c>
      <c r="W50" s="23">
        <v>0</v>
      </c>
      <c r="X50" s="23">
        <v>0</v>
      </c>
      <c r="Y50" s="23">
        <v>-2.8206000000000002</v>
      </c>
      <c r="Z50" s="23">
        <v>0</v>
      </c>
      <c r="AA50" s="23">
        <v>0</v>
      </c>
      <c r="AB50" s="23">
        <v>0</v>
      </c>
      <c r="AC50" s="23">
        <v>-9470.9848299999994</v>
      </c>
      <c r="AD50" s="23">
        <v>0</v>
      </c>
      <c r="AE50" s="23">
        <v>0</v>
      </c>
      <c r="AF50" s="23">
        <v>0</v>
      </c>
      <c r="AG50" s="23">
        <v>-32164.783100000001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/>
      <c r="AN50" s="23">
        <v>0</v>
      </c>
      <c r="AO50" s="23">
        <v>3</v>
      </c>
      <c r="AP50" s="23">
        <v>6</v>
      </c>
      <c r="AQ50" s="23"/>
      <c r="AR50" s="23"/>
      <c r="AS50" s="23"/>
      <c r="AT50" s="23">
        <v>0</v>
      </c>
      <c r="AU50" s="23">
        <v>0</v>
      </c>
      <c r="AV50" s="23">
        <v>0</v>
      </c>
      <c r="AW50" s="23"/>
      <c r="AX50" s="23">
        <v>0</v>
      </c>
      <c r="AY50" s="23">
        <v>0</v>
      </c>
      <c r="AZ50" s="23">
        <v>0</v>
      </c>
      <c r="BA50" s="23"/>
      <c r="BB50" s="23">
        <v>2</v>
      </c>
      <c r="BC50" s="23"/>
      <c r="BD50" s="23"/>
      <c r="BE50" s="23"/>
      <c r="BF50" s="23">
        <v>-3354.1867699999998</v>
      </c>
      <c r="BG50" s="23">
        <v>0</v>
      </c>
      <c r="BH50" s="23">
        <v>0</v>
      </c>
      <c r="BI50" s="23">
        <v>0</v>
      </c>
      <c r="BJ50" s="19"/>
      <c r="BK50" s="22"/>
      <c r="BL50" s="23"/>
      <c r="BM50" s="23">
        <v>0</v>
      </c>
      <c r="BN50" s="23"/>
      <c r="BO50" s="23">
        <v>-7960.4659600000005</v>
      </c>
      <c r="BP50" s="23">
        <v>0</v>
      </c>
      <c r="BQ50" s="23">
        <v>0</v>
      </c>
      <c r="BR50" s="23">
        <v>0</v>
      </c>
      <c r="BS50" s="22"/>
      <c r="BT50" s="23"/>
      <c r="BU50" s="23">
        <v>115</v>
      </c>
      <c r="BV50" s="23" t="e">
        <f t="shared" si="7"/>
        <v>#DIV/0!</v>
      </c>
      <c r="BW50" s="23"/>
      <c r="BX50" s="23" t="e">
        <f t="shared" si="8"/>
        <v>#DIV/0!</v>
      </c>
      <c r="BY50" s="23">
        <v>0</v>
      </c>
      <c r="BZ50" s="23" t="e">
        <f t="shared" si="67"/>
        <v>#DIV/0!</v>
      </c>
      <c r="CA50" s="23">
        <v>0</v>
      </c>
      <c r="CB50" s="23" t="e">
        <f t="shared" si="10"/>
        <v>#DIV/0!</v>
      </c>
      <c r="CC50" s="23" t="e">
        <f t="shared" si="69"/>
        <v>#DIV/0!</v>
      </c>
      <c r="CD50" s="23">
        <v>0</v>
      </c>
      <c r="CE50" s="23" t="e">
        <f t="shared" si="11"/>
        <v>#DIV/0!</v>
      </c>
      <c r="CF50" s="23" t="e">
        <f t="shared" si="70"/>
        <v>#DIV/0!</v>
      </c>
      <c r="CG50" s="23">
        <v>0</v>
      </c>
      <c r="CH50" s="23" t="e">
        <f t="shared" si="26"/>
        <v>#DIV/0!</v>
      </c>
    </row>
    <row r="51" spans="1:86" ht="22.5" hidden="1" customHeight="1" x14ac:dyDescent="0.25">
      <c r="A51" s="9" t="s">
        <v>165</v>
      </c>
      <c r="B51" s="37" t="s">
        <v>166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/>
      <c r="Q51" s="23">
        <v>0</v>
      </c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19"/>
      <c r="BK51" s="22"/>
      <c r="BL51" s="23"/>
      <c r="BM51" s="23"/>
      <c r="BN51" s="23"/>
      <c r="BO51" s="23"/>
      <c r="BP51" s="23"/>
      <c r="BQ51" s="23"/>
      <c r="BR51" s="23"/>
      <c r="BS51" s="22"/>
      <c r="BT51" s="23"/>
      <c r="BU51" s="23"/>
      <c r="BV51" s="23" t="e">
        <f t="shared" si="7"/>
        <v>#DIV/0!</v>
      </c>
      <c r="BW51" s="23"/>
      <c r="BX51" s="23" t="e">
        <f t="shared" si="8"/>
        <v>#DIV/0!</v>
      </c>
      <c r="BY51" s="23"/>
      <c r="BZ51" s="23" t="e">
        <f t="shared" si="67"/>
        <v>#DIV/0!</v>
      </c>
      <c r="CA51" s="23"/>
      <c r="CB51" s="23" t="e">
        <f t="shared" si="10"/>
        <v>#DIV/0!</v>
      </c>
      <c r="CC51" s="23" t="e">
        <f t="shared" si="69"/>
        <v>#DIV/0!</v>
      </c>
      <c r="CD51" s="23"/>
      <c r="CE51" s="23" t="e">
        <f t="shared" si="11"/>
        <v>#DIV/0!</v>
      </c>
      <c r="CF51" s="23" t="e">
        <f t="shared" si="70"/>
        <v>#DIV/0!</v>
      </c>
      <c r="CG51" s="23"/>
      <c r="CH51" s="23" t="e">
        <f t="shared" si="26"/>
        <v>#DIV/0!</v>
      </c>
    </row>
    <row r="52" spans="1:86" ht="22.5" hidden="1" customHeight="1" x14ac:dyDescent="0.25">
      <c r="A52" s="9" t="s">
        <v>167</v>
      </c>
      <c r="B52" s="37" t="s">
        <v>168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19"/>
      <c r="BK52" s="22"/>
      <c r="BL52" s="23"/>
      <c r="BM52" s="23"/>
      <c r="BN52" s="23"/>
      <c r="BO52" s="23"/>
      <c r="BP52" s="23"/>
      <c r="BQ52" s="23"/>
      <c r="BR52" s="23"/>
      <c r="BS52" s="22"/>
      <c r="BT52" s="23"/>
      <c r="BU52" s="23"/>
      <c r="BV52" s="23" t="e">
        <f t="shared" si="7"/>
        <v>#DIV/0!</v>
      </c>
      <c r="BW52" s="23"/>
      <c r="BX52" s="23" t="e">
        <f t="shared" si="8"/>
        <v>#DIV/0!</v>
      </c>
      <c r="BY52" s="23"/>
      <c r="BZ52" s="23" t="e">
        <f t="shared" si="67"/>
        <v>#DIV/0!</v>
      </c>
      <c r="CA52" s="23"/>
      <c r="CB52" s="23" t="e">
        <f t="shared" si="10"/>
        <v>#DIV/0!</v>
      </c>
      <c r="CC52" s="23" t="e">
        <f t="shared" si="69"/>
        <v>#DIV/0!</v>
      </c>
      <c r="CD52" s="23"/>
      <c r="CE52" s="23" t="e">
        <f t="shared" si="11"/>
        <v>#DIV/0!</v>
      </c>
      <c r="CF52" s="23" t="e">
        <f t="shared" si="70"/>
        <v>#DIV/0!</v>
      </c>
      <c r="CG52" s="23"/>
      <c r="CH52" s="23" t="e">
        <f t="shared" si="26"/>
        <v>#DIV/0!</v>
      </c>
    </row>
    <row r="53" spans="1:86" ht="22.5" hidden="1" customHeight="1" x14ac:dyDescent="0.25">
      <c r="A53" s="9" t="s">
        <v>169</v>
      </c>
      <c r="B53" s="37" t="s">
        <v>170</v>
      </c>
      <c r="C53" s="23">
        <v>138.38155</v>
      </c>
      <c r="D53" s="23">
        <v>0</v>
      </c>
      <c r="E53" s="23">
        <v>14.8</v>
      </c>
      <c r="F53" s="23">
        <v>18.445499999999999</v>
      </c>
      <c r="G53" s="23">
        <v>8</v>
      </c>
      <c r="H53" s="23">
        <v>43.8</v>
      </c>
      <c r="I53" s="23">
        <v>44.074260000000002</v>
      </c>
      <c r="J53" s="23">
        <v>71</v>
      </c>
      <c r="K53" s="23">
        <v>247</v>
      </c>
      <c r="L53" s="23">
        <v>246.31367</v>
      </c>
      <c r="M53" s="23">
        <v>246.31367</v>
      </c>
      <c r="N53" s="23">
        <v>71</v>
      </c>
      <c r="O53" s="23">
        <v>0</v>
      </c>
      <c r="P53" s="23"/>
      <c r="Q53" s="23">
        <v>0</v>
      </c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19"/>
      <c r="BK53" s="22"/>
      <c r="BL53" s="23"/>
      <c r="BM53" s="23"/>
      <c r="BN53" s="23"/>
      <c r="BO53" s="23"/>
      <c r="BP53" s="23"/>
      <c r="BQ53" s="23"/>
      <c r="BR53" s="23"/>
      <c r="BS53" s="22"/>
      <c r="BT53" s="23"/>
      <c r="BU53" s="23"/>
      <c r="BV53" s="23" t="e">
        <f t="shared" si="7"/>
        <v>#DIV/0!</v>
      </c>
      <c r="BW53" s="23"/>
      <c r="BX53" s="23" t="e">
        <f t="shared" si="8"/>
        <v>#DIV/0!</v>
      </c>
      <c r="BY53" s="23"/>
      <c r="BZ53" s="23" t="e">
        <f t="shared" si="67"/>
        <v>#DIV/0!</v>
      </c>
      <c r="CA53" s="23"/>
      <c r="CB53" s="23" t="e">
        <f t="shared" si="10"/>
        <v>#DIV/0!</v>
      </c>
      <c r="CC53" s="23" t="e">
        <f t="shared" si="69"/>
        <v>#DIV/0!</v>
      </c>
      <c r="CD53" s="23"/>
      <c r="CE53" s="23" t="e">
        <f t="shared" si="11"/>
        <v>#DIV/0!</v>
      </c>
      <c r="CF53" s="23" t="e">
        <f t="shared" si="70"/>
        <v>#DIV/0!</v>
      </c>
      <c r="CG53" s="23"/>
      <c r="CH53" s="23" t="e">
        <f t="shared" si="26"/>
        <v>#DIV/0!</v>
      </c>
    </row>
    <row r="54" spans="1:86" ht="29.25" customHeight="1" x14ac:dyDescent="0.25">
      <c r="A54" s="17" t="s">
        <v>171</v>
      </c>
      <c r="B54" s="39" t="s">
        <v>172</v>
      </c>
      <c r="C54" s="19">
        <f>C56+C57+C58</f>
        <v>1977.8404</v>
      </c>
      <c r="D54" s="19">
        <f>D56+D57</f>
        <v>0</v>
      </c>
      <c r="E54" s="19">
        <f>E56+E57</f>
        <v>1125</v>
      </c>
      <c r="F54" s="19">
        <f>F56+F57</f>
        <v>1124.9659999999999</v>
      </c>
      <c r="G54" s="19">
        <f>G56+G57</f>
        <v>0</v>
      </c>
      <c r="H54" s="19">
        <f>H56+H57+H60+H55</f>
        <v>37.700000000000003</v>
      </c>
      <c r="I54" s="19">
        <f>I56+I57+I60+I55</f>
        <v>37.766019999999997</v>
      </c>
      <c r="J54" s="19">
        <f>J56+J57</f>
        <v>0</v>
      </c>
      <c r="K54" s="19">
        <f>K56+K57+K60+K55</f>
        <v>0</v>
      </c>
      <c r="L54" s="19">
        <f>L56+L57+L60+L55</f>
        <v>0</v>
      </c>
      <c r="M54" s="19">
        <f>M56+M57+M60+M55</f>
        <v>0</v>
      </c>
      <c r="N54" s="19">
        <f>N56+N57</f>
        <v>0</v>
      </c>
      <c r="O54" s="19">
        <f>O56+O57+O60+O55</f>
        <v>0</v>
      </c>
      <c r="P54" s="19">
        <f>P56+P57+P60+P55+P58</f>
        <v>62.073</v>
      </c>
      <c r="Q54" s="19">
        <f>Q56+Q57+Q60+Q55+Q58</f>
        <v>62.073</v>
      </c>
      <c r="R54" s="19">
        <f>R56+R57</f>
        <v>0</v>
      </c>
      <c r="S54" s="19">
        <f>S56+S57+S60+S55+S58</f>
        <v>49.3</v>
      </c>
      <c r="T54" s="19">
        <f>T56+T57+T60+T55+T58</f>
        <v>49.271999999999998</v>
      </c>
      <c r="U54" s="19">
        <f>U56+U57+U60+U55+U58</f>
        <v>119.61978000000001</v>
      </c>
      <c r="V54" s="19">
        <f>V56+V57</f>
        <v>0</v>
      </c>
      <c r="W54" s="19">
        <f>W56+W57+W60+W55+W58</f>
        <v>83</v>
      </c>
      <c r="X54" s="19">
        <f>X56+X57+X60+X55+X58</f>
        <v>88.743709999999993</v>
      </c>
      <c r="Y54" s="19">
        <f>Y56+Y57+Y60+Y55+Y58</f>
        <v>88.543710000000004</v>
      </c>
      <c r="Z54" s="19">
        <f>Z56+Z57</f>
        <v>0</v>
      </c>
      <c r="AA54" s="19">
        <f>AA56+AA57+AA60+AA55+AA58</f>
        <v>16.100000000000001</v>
      </c>
      <c r="AB54" s="19">
        <f>AB56+AB57+AB60+AB55+AB58</f>
        <v>21.044139999999999</v>
      </c>
      <c r="AC54" s="19">
        <f>AC56+AC57+AC60+AC55+AC58</f>
        <v>21.044139999999999</v>
      </c>
      <c r="AD54" s="19">
        <f>AD56+AD57</f>
        <v>0</v>
      </c>
      <c r="AE54" s="19">
        <f>AE56+AE57+AE60+AE55+AE58</f>
        <v>65</v>
      </c>
      <c r="AF54" s="19">
        <f>AF56+AF57+AF60+AF55+AF58</f>
        <v>111.35687999999999</v>
      </c>
      <c r="AG54" s="19">
        <f>AG56+AG57+AG60+AG55+AG58</f>
        <v>111.35688</v>
      </c>
      <c r="AH54" s="19">
        <f>AH56+AH57</f>
        <v>0</v>
      </c>
      <c r="AI54" s="19">
        <f>AI56+AI57</f>
        <v>0</v>
      </c>
      <c r="AJ54" s="19">
        <f>AJ56+AJ57</f>
        <v>0</v>
      </c>
      <c r="AK54" s="19">
        <f>AK56+AK57+AK60+AK55+AK58</f>
        <v>102.8</v>
      </c>
      <c r="AL54" s="19">
        <f>AL58</f>
        <v>102.82123</v>
      </c>
      <c r="AM54" s="19">
        <f>AM56+AM57+AM60+AM55+AM58</f>
        <v>45.649410000000003</v>
      </c>
      <c r="AN54" s="19">
        <f>AN56+AN57</f>
        <v>0</v>
      </c>
      <c r="AO54" s="19">
        <f>AO56+AO57</f>
        <v>0</v>
      </c>
      <c r="AP54" s="19">
        <f>AP56+AP57</f>
        <v>0</v>
      </c>
      <c r="AQ54" s="19">
        <v>48.5</v>
      </c>
      <c r="AR54" s="19">
        <v>87.5</v>
      </c>
      <c r="AS54" s="19">
        <v>87.5</v>
      </c>
      <c r="AT54" s="19">
        <f>AT58</f>
        <v>447.5</v>
      </c>
      <c r="AU54" s="19">
        <f>AU58+AU62</f>
        <v>455.5</v>
      </c>
      <c r="AV54" s="19">
        <f>AV58+AV62</f>
        <v>470.18727000000001</v>
      </c>
      <c r="AW54" s="19">
        <f>AW58+AW62</f>
        <v>457.01130999999998</v>
      </c>
      <c r="AX54" s="19">
        <f>AX56+AX57</f>
        <v>0</v>
      </c>
      <c r="AY54" s="19">
        <f>AY56+AY57</f>
        <v>0</v>
      </c>
      <c r="AZ54" s="19">
        <f>AZ56+AZ57</f>
        <v>0</v>
      </c>
      <c r="BA54" s="19">
        <v>0</v>
      </c>
      <c r="BB54" s="19">
        <v>0</v>
      </c>
      <c r="BC54" s="19"/>
      <c r="BD54" s="19">
        <f>BD58</f>
        <v>12.9</v>
      </c>
      <c r="BE54" s="19">
        <f>BE58+BE62+BE57+BE59</f>
        <v>12.93243</v>
      </c>
      <c r="BF54" s="19">
        <f>BF58+BF62+BF57+BF59</f>
        <v>2.9324300000000001</v>
      </c>
      <c r="BG54" s="19">
        <f>BG56+BG57</f>
        <v>0</v>
      </c>
      <c r="BH54" s="19">
        <f>BH56+BH57</f>
        <v>0</v>
      </c>
      <c r="BI54" s="19">
        <f>BI56+BI57</f>
        <v>0</v>
      </c>
      <c r="BJ54" s="19">
        <f t="shared" ref="BJ54:BK54" si="75">BJ56+BJ57</f>
        <v>0</v>
      </c>
      <c r="BK54" s="19">
        <f t="shared" si="75"/>
        <v>0</v>
      </c>
      <c r="BL54" s="19">
        <f>BL58</f>
        <v>14.2</v>
      </c>
      <c r="BM54" s="19">
        <f>BM56+BM57+BM58</f>
        <v>14.2</v>
      </c>
      <c r="BN54" s="19">
        <f>BN58+BN62+BN57+BN59</f>
        <v>14.168850000000001</v>
      </c>
      <c r="BO54" s="19">
        <f>BO58+BO59+BO60+BO61</f>
        <v>24.168849999999999</v>
      </c>
      <c r="BP54" s="19">
        <f t="shared" ref="BP54:BW54" si="76">BP56+BP57</f>
        <v>0</v>
      </c>
      <c r="BQ54" s="19">
        <f t="shared" si="76"/>
        <v>0</v>
      </c>
      <c r="BR54" s="19">
        <f t="shared" si="76"/>
        <v>0</v>
      </c>
      <c r="BS54" s="19">
        <f t="shared" si="76"/>
        <v>0</v>
      </c>
      <c r="BT54" s="19">
        <f t="shared" si="76"/>
        <v>0</v>
      </c>
      <c r="BU54" s="19">
        <f t="shared" si="76"/>
        <v>0</v>
      </c>
      <c r="BV54" s="23">
        <f t="shared" si="7"/>
        <v>109.56061621829774</v>
      </c>
      <c r="BW54" s="19">
        <f t="shared" si="76"/>
        <v>0</v>
      </c>
      <c r="BX54" s="23">
        <v>0</v>
      </c>
      <c r="BY54" s="19">
        <f>BY56+BY57</f>
        <v>0</v>
      </c>
      <c r="BZ54" s="23">
        <f t="shared" si="67"/>
        <v>0</v>
      </c>
      <c r="CA54" s="19"/>
      <c r="CB54" s="23"/>
      <c r="CC54" s="23"/>
      <c r="CD54" s="19"/>
      <c r="CE54" s="23"/>
      <c r="CF54" s="23"/>
      <c r="CG54" s="19"/>
      <c r="CH54" s="23"/>
    </row>
    <row r="55" spans="1:86" s="24" customFormat="1" ht="22.5" hidden="1" customHeight="1" x14ac:dyDescent="0.25">
      <c r="A55" s="9" t="s">
        <v>173</v>
      </c>
      <c r="B55" s="37" t="s">
        <v>174</v>
      </c>
      <c r="C55" s="23"/>
      <c r="D55" s="19"/>
      <c r="E55" s="19"/>
      <c r="F55" s="23"/>
      <c r="G55" s="23"/>
      <c r="H55" s="23">
        <v>10.5</v>
      </c>
      <c r="I55" s="23"/>
      <c r="J55" s="23"/>
      <c r="K55" s="23">
        <v>0</v>
      </c>
      <c r="L55" s="23"/>
      <c r="M55" s="23"/>
      <c r="N55" s="23"/>
      <c r="O55" s="23"/>
      <c r="P55" s="23"/>
      <c r="Q55" s="23">
        <v>0</v>
      </c>
      <c r="R55" s="23"/>
      <c r="S55" s="23"/>
      <c r="T55" s="23"/>
      <c r="U55" s="23">
        <v>0</v>
      </c>
      <c r="V55" s="23"/>
      <c r="W55" s="23"/>
      <c r="X55" s="23"/>
      <c r="Y55" s="23">
        <v>0</v>
      </c>
      <c r="Z55" s="23"/>
      <c r="AA55" s="23"/>
      <c r="AB55" s="23"/>
      <c r="AC55" s="23">
        <v>0</v>
      </c>
      <c r="AD55" s="23"/>
      <c r="AE55" s="23"/>
      <c r="AF55" s="23"/>
      <c r="AG55" s="23">
        <v>0</v>
      </c>
      <c r="AH55" s="23"/>
      <c r="AI55" s="23"/>
      <c r="AJ55" s="23"/>
      <c r="AK55" s="23"/>
      <c r="AL55" s="23"/>
      <c r="AM55" s="23">
        <v>0</v>
      </c>
      <c r="AN55" s="23"/>
      <c r="AO55" s="23"/>
      <c r="AP55" s="23"/>
      <c r="AQ55" s="23"/>
      <c r="AR55" s="23"/>
      <c r="AS55" s="23"/>
      <c r="AT55" s="23"/>
      <c r="AU55" s="23"/>
      <c r="AV55" s="23"/>
      <c r="AW55" s="23">
        <v>0</v>
      </c>
      <c r="AX55" s="23"/>
      <c r="AY55" s="23"/>
      <c r="AZ55" s="23"/>
      <c r="BA55" s="23"/>
      <c r="BB55" s="23"/>
      <c r="BC55" s="23"/>
      <c r="BD55" s="23"/>
      <c r="BE55" s="23"/>
      <c r="BF55" s="23">
        <v>0</v>
      </c>
      <c r="BG55" s="23"/>
      <c r="BH55" s="23"/>
      <c r="BI55" s="23"/>
      <c r="BJ55" s="19"/>
      <c r="BK55" s="22"/>
      <c r="BL55" s="23"/>
      <c r="BM55" s="23"/>
      <c r="BN55" s="23"/>
      <c r="BO55" s="23">
        <v>0</v>
      </c>
      <c r="BP55" s="23"/>
      <c r="BQ55" s="23"/>
      <c r="BR55" s="23"/>
      <c r="BS55" s="22"/>
      <c r="BT55" s="23"/>
      <c r="BU55" s="23"/>
      <c r="BV55" s="23" t="e">
        <f t="shared" si="7"/>
        <v>#DIV/0!</v>
      </c>
      <c r="BW55" s="23"/>
      <c r="BX55" s="23" t="e">
        <f t="shared" si="8"/>
        <v>#DIV/0!</v>
      </c>
      <c r="BY55" s="23"/>
      <c r="BZ55" s="23" t="e">
        <f t="shared" si="67"/>
        <v>#DIV/0!</v>
      </c>
      <c r="CA55" s="23"/>
      <c r="CB55" s="23" t="e">
        <f t="shared" si="10"/>
        <v>#DIV/0!</v>
      </c>
      <c r="CC55" s="23" t="e">
        <f t="shared" ref="CC55:CC63" si="77">CA55/BQ55*100</f>
        <v>#DIV/0!</v>
      </c>
      <c r="CD55" s="23"/>
      <c r="CE55" s="23" t="e">
        <f t="shared" si="11"/>
        <v>#DIV/0!</v>
      </c>
      <c r="CF55" s="23" t="e">
        <f t="shared" ref="CF55:CF63" si="78">CD55/BR55*100</f>
        <v>#DIV/0!</v>
      </c>
      <c r="CG55" s="23"/>
      <c r="CH55" s="23" t="e">
        <f t="shared" si="26"/>
        <v>#DIV/0!</v>
      </c>
    </row>
    <row r="56" spans="1:86" ht="22.5" hidden="1" customHeight="1" x14ac:dyDescent="0.25">
      <c r="A56" s="9" t="s">
        <v>175</v>
      </c>
      <c r="B56" s="37" t="s">
        <v>176</v>
      </c>
      <c r="C56" s="23">
        <v>1927.8404</v>
      </c>
      <c r="D56" s="23">
        <v>0</v>
      </c>
      <c r="E56" s="23">
        <v>1125</v>
      </c>
      <c r="F56" s="23">
        <v>1124.9659999999999</v>
      </c>
      <c r="G56" s="23">
        <v>0</v>
      </c>
      <c r="H56" s="23">
        <v>0</v>
      </c>
      <c r="I56" s="23">
        <v>10.525</v>
      </c>
      <c r="J56" s="23">
        <v>0</v>
      </c>
      <c r="K56" s="23">
        <v>0</v>
      </c>
      <c r="L56" s="23"/>
      <c r="M56" s="23"/>
      <c r="N56" s="23"/>
      <c r="O56" s="23"/>
      <c r="P56" s="23"/>
      <c r="Q56" s="23">
        <v>0</v>
      </c>
      <c r="R56" s="23"/>
      <c r="S56" s="23"/>
      <c r="T56" s="23"/>
      <c r="U56" s="23">
        <v>0</v>
      </c>
      <c r="V56" s="23"/>
      <c r="W56" s="23"/>
      <c r="X56" s="23"/>
      <c r="Y56" s="23">
        <v>0</v>
      </c>
      <c r="Z56" s="23"/>
      <c r="AA56" s="23"/>
      <c r="AB56" s="23"/>
      <c r="AC56" s="23">
        <v>0</v>
      </c>
      <c r="AD56" s="23"/>
      <c r="AE56" s="23"/>
      <c r="AF56" s="23"/>
      <c r="AG56" s="23">
        <v>0</v>
      </c>
      <c r="AH56" s="23"/>
      <c r="AI56" s="23"/>
      <c r="AJ56" s="23"/>
      <c r="AK56" s="23"/>
      <c r="AL56" s="23"/>
      <c r="AM56" s="23">
        <v>0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>
        <v>0</v>
      </c>
      <c r="AX56" s="23"/>
      <c r="AY56" s="23"/>
      <c r="AZ56" s="23"/>
      <c r="BA56" s="23"/>
      <c r="BB56" s="23"/>
      <c r="BC56" s="23"/>
      <c r="BD56" s="23"/>
      <c r="BE56" s="23"/>
      <c r="BF56" s="23">
        <v>0</v>
      </c>
      <c r="BG56" s="23"/>
      <c r="BH56" s="23"/>
      <c r="BI56" s="23"/>
      <c r="BJ56" s="19"/>
      <c r="BK56" s="22"/>
      <c r="BL56" s="23"/>
      <c r="BM56" s="23"/>
      <c r="BN56" s="23"/>
      <c r="BO56" s="23">
        <v>0</v>
      </c>
      <c r="BP56" s="23"/>
      <c r="BQ56" s="23"/>
      <c r="BR56" s="23"/>
      <c r="BS56" s="22"/>
      <c r="BT56" s="23"/>
      <c r="BU56" s="23"/>
      <c r="BV56" s="23" t="e">
        <f t="shared" si="7"/>
        <v>#DIV/0!</v>
      </c>
      <c r="BW56" s="23"/>
      <c r="BX56" s="23" t="e">
        <f t="shared" si="8"/>
        <v>#DIV/0!</v>
      </c>
      <c r="BY56" s="23"/>
      <c r="BZ56" s="23" t="e">
        <f t="shared" si="67"/>
        <v>#DIV/0!</v>
      </c>
      <c r="CA56" s="23"/>
      <c r="CB56" s="23" t="e">
        <f t="shared" si="10"/>
        <v>#DIV/0!</v>
      </c>
      <c r="CC56" s="23" t="e">
        <f t="shared" si="77"/>
        <v>#DIV/0!</v>
      </c>
      <c r="CD56" s="23"/>
      <c r="CE56" s="23" t="e">
        <f t="shared" si="11"/>
        <v>#DIV/0!</v>
      </c>
      <c r="CF56" s="23" t="e">
        <f t="shared" si="78"/>
        <v>#DIV/0!</v>
      </c>
      <c r="CG56" s="23"/>
      <c r="CH56" s="23" t="e">
        <f t="shared" si="26"/>
        <v>#DIV/0!</v>
      </c>
    </row>
    <row r="57" spans="1:86" ht="22.5" hidden="1" customHeight="1" x14ac:dyDescent="0.25">
      <c r="A57" s="9" t="s">
        <v>177</v>
      </c>
      <c r="B57" s="37" t="s">
        <v>178</v>
      </c>
      <c r="C57" s="23">
        <v>20</v>
      </c>
      <c r="D57" s="23">
        <v>0</v>
      </c>
      <c r="E57" s="23">
        <v>0</v>
      </c>
      <c r="F57" s="23">
        <v>0</v>
      </c>
      <c r="G57" s="23">
        <v>0</v>
      </c>
      <c r="H57" s="23">
        <v>15.5</v>
      </c>
      <c r="I57" s="23">
        <v>15.54102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9.0730000000000004</v>
      </c>
      <c r="Q57" s="23">
        <v>9.0730000000000004</v>
      </c>
      <c r="R57" s="23">
        <v>0</v>
      </c>
      <c r="S57" s="23">
        <v>19.3</v>
      </c>
      <c r="T57" s="23">
        <v>19.271999999999998</v>
      </c>
      <c r="U57" s="23">
        <v>89.619780000000006</v>
      </c>
      <c r="V57" s="23">
        <v>0</v>
      </c>
      <c r="W57" s="23">
        <v>83</v>
      </c>
      <c r="X57" s="23">
        <v>88.743709999999993</v>
      </c>
      <c r="Y57" s="23">
        <v>88.543710000000004</v>
      </c>
      <c r="Z57" s="23">
        <v>0</v>
      </c>
      <c r="AA57" s="23">
        <v>16.100000000000001</v>
      </c>
      <c r="AB57" s="23">
        <v>21.044139999999999</v>
      </c>
      <c r="AC57" s="23">
        <v>21.044139999999999</v>
      </c>
      <c r="AD57" s="23">
        <v>0</v>
      </c>
      <c r="AE57" s="23">
        <v>5</v>
      </c>
      <c r="AF57" s="23">
        <v>51.356879999999997</v>
      </c>
      <c r="AG57" s="23">
        <v>5.2</v>
      </c>
      <c r="AH57" s="23">
        <v>0</v>
      </c>
      <c r="AI57" s="23">
        <v>0</v>
      </c>
      <c r="AJ57" s="23">
        <v>0</v>
      </c>
      <c r="AK57" s="23"/>
      <c r="AL57" s="23"/>
      <c r="AM57" s="23"/>
      <c r="AN57" s="23">
        <v>0</v>
      </c>
      <c r="AO57" s="23">
        <v>0</v>
      </c>
      <c r="AP57" s="23">
        <v>0</v>
      </c>
      <c r="AQ57" s="23"/>
      <c r="AR57" s="23"/>
      <c r="AS57" s="23"/>
      <c r="AT57" s="23"/>
      <c r="AU57" s="23"/>
      <c r="AV57" s="23"/>
      <c r="AW57" s="23"/>
      <c r="AX57" s="23">
        <v>0</v>
      </c>
      <c r="AY57" s="23">
        <v>0</v>
      </c>
      <c r="AZ57" s="23">
        <v>0</v>
      </c>
      <c r="BA57" s="23"/>
      <c r="BB57" s="23">
        <v>0</v>
      </c>
      <c r="BC57" s="23"/>
      <c r="BD57" s="23"/>
      <c r="BE57" s="23"/>
      <c r="BF57" s="23">
        <v>-10</v>
      </c>
      <c r="BG57" s="23">
        <v>0</v>
      </c>
      <c r="BH57" s="23">
        <v>0</v>
      </c>
      <c r="BI57" s="23">
        <v>0</v>
      </c>
      <c r="BJ57" s="19"/>
      <c r="BK57" s="22"/>
      <c r="BL57" s="23"/>
      <c r="BM57" s="23">
        <v>0</v>
      </c>
      <c r="BN57" s="23"/>
      <c r="BO57" s="23">
        <v>-10</v>
      </c>
      <c r="BP57" s="23">
        <v>0</v>
      </c>
      <c r="BQ57" s="23">
        <v>0</v>
      </c>
      <c r="BR57" s="23">
        <v>0</v>
      </c>
      <c r="BS57" s="22"/>
      <c r="BT57" s="23"/>
      <c r="BU57" s="23"/>
      <c r="BV57" s="23" t="e">
        <f t="shared" si="7"/>
        <v>#DIV/0!</v>
      </c>
      <c r="BW57" s="23"/>
      <c r="BX57" s="23" t="e">
        <f t="shared" si="8"/>
        <v>#DIV/0!</v>
      </c>
      <c r="BY57" s="23"/>
      <c r="BZ57" s="23" t="e">
        <f t="shared" si="67"/>
        <v>#DIV/0!</v>
      </c>
      <c r="CA57" s="23">
        <v>0</v>
      </c>
      <c r="CB57" s="23" t="e">
        <f t="shared" si="10"/>
        <v>#DIV/0!</v>
      </c>
      <c r="CC57" s="23" t="e">
        <f t="shared" si="77"/>
        <v>#DIV/0!</v>
      </c>
      <c r="CD57" s="23">
        <v>0</v>
      </c>
      <c r="CE57" s="23" t="e">
        <f t="shared" si="11"/>
        <v>#DIV/0!</v>
      </c>
      <c r="CF57" s="23" t="e">
        <f t="shared" si="78"/>
        <v>#DIV/0!</v>
      </c>
      <c r="CG57" s="23">
        <v>0</v>
      </c>
      <c r="CH57" s="23" t="e">
        <f t="shared" si="26"/>
        <v>#DIV/0!</v>
      </c>
    </row>
    <row r="58" spans="1:86" ht="33.75" hidden="1" customHeight="1" x14ac:dyDescent="0.25">
      <c r="A58" s="9" t="s">
        <v>179</v>
      </c>
      <c r="B58" s="37" t="s">
        <v>180</v>
      </c>
      <c r="C58" s="23">
        <v>30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53</v>
      </c>
      <c r="Q58" s="23">
        <v>53</v>
      </c>
      <c r="R58" s="23">
        <v>0</v>
      </c>
      <c r="S58" s="23">
        <v>30</v>
      </c>
      <c r="T58" s="23">
        <v>30</v>
      </c>
      <c r="U58" s="23">
        <v>30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60</v>
      </c>
      <c r="AF58" s="23">
        <v>60</v>
      </c>
      <c r="AG58" s="23">
        <v>106.15688</v>
      </c>
      <c r="AH58" s="23">
        <v>0</v>
      </c>
      <c r="AI58" s="23">
        <v>0</v>
      </c>
      <c r="AJ58" s="23">
        <v>0</v>
      </c>
      <c r="AK58" s="23">
        <v>102.8</v>
      </c>
      <c r="AL58" s="23">
        <v>102.82123</v>
      </c>
      <c r="AM58" s="23">
        <v>45.649410000000003</v>
      </c>
      <c r="AN58" s="23">
        <v>0</v>
      </c>
      <c r="AO58" s="23">
        <v>0</v>
      </c>
      <c r="AP58" s="23">
        <v>0</v>
      </c>
      <c r="AQ58" s="23"/>
      <c r="AR58" s="23"/>
      <c r="AS58" s="23"/>
      <c r="AT58" s="23">
        <v>447.5</v>
      </c>
      <c r="AU58" s="23">
        <v>95.5</v>
      </c>
      <c r="AV58" s="23">
        <v>110.18727</v>
      </c>
      <c r="AW58" s="23">
        <v>97.011309999999995</v>
      </c>
      <c r="AX58" s="23">
        <v>0</v>
      </c>
      <c r="AY58" s="23">
        <v>0</v>
      </c>
      <c r="AZ58" s="23">
        <v>0</v>
      </c>
      <c r="BA58" s="23"/>
      <c r="BB58" s="23">
        <v>0</v>
      </c>
      <c r="BC58" s="23"/>
      <c r="BD58" s="23">
        <v>12.9</v>
      </c>
      <c r="BE58" s="23">
        <v>12.93243</v>
      </c>
      <c r="BF58" s="23">
        <v>28.94529</v>
      </c>
      <c r="BG58" s="23">
        <v>0</v>
      </c>
      <c r="BH58" s="23">
        <v>0</v>
      </c>
      <c r="BI58" s="23">
        <v>0</v>
      </c>
      <c r="BJ58" s="19">
        <v>14.2</v>
      </c>
      <c r="BK58" s="22">
        <v>14.2</v>
      </c>
      <c r="BL58" s="23">
        <v>14.2</v>
      </c>
      <c r="BM58" s="23">
        <v>14.2</v>
      </c>
      <c r="BN58" s="23">
        <v>14.168850000000001</v>
      </c>
      <c r="BO58" s="23">
        <v>14.168850000000001</v>
      </c>
      <c r="BP58" s="23">
        <v>0</v>
      </c>
      <c r="BQ58" s="23">
        <v>0</v>
      </c>
      <c r="BR58" s="23">
        <v>0</v>
      </c>
      <c r="BS58" s="22"/>
      <c r="BT58" s="23"/>
      <c r="BU58" s="23"/>
      <c r="BV58" s="23">
        <f t="shared" si="7"/>
        <v>109.56061621829774</v>
      </c>
      <c r="BW58" s="23"/>
      <c r="BX58" s="23" t="e">
        <f t="shared" si="8"/>
        <v>#DIV/0!</v>
      </c>
      <c r="BY58" s="23"/>
      <c r="BZ58" s="23">
        <f t="shared" si="67"/>
        <v>0</v>
      </c>
      <c r="CA58" s="23">
        <v>0</v>
      </c>
      <c r="CB58" s="23" t="e">
        <f t="shared" si="10"/>
        <v>#DIV/0!</v>
      </c>
      <c r="CC58" s="23" t="e">
        <f t="shared" si="77"/>
        <v>#DIV/0!</v>
      </c>
      <c r="CD58" s="23">
        <v>0</v>
      </c>
      <c r="CE58" s="23" t="e">
        <f t="shared" si="11"/>
        <v>#DIV/0!</v>
      </c>
      <c r="CF58" s="23" t="e">
        <f t="shared" si="78"/>
        <v>#DIV/0!</v>
      </c>
      <c r="CG58" s="23">
        <v>0</v>
      </c>
      <c r="CH58" s="23" t="e">
        <f t="shared" si="26"/>
        <v>#DIV/0!</v>
      </c>
    </row>
    <row r="59" spans="1:86" ht="33.75" hidden="1" customHeight="1" x14ac:dyDescent="0.25">
      <c r="A59" s="9" t="s">
        <v>181</v>
      </c>
      <c r="B59" s="37" t="s">
        <v>182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>
        <v>-16.01286</v>
      </c>
      <c r="BG59" s="23"/>
      <c r="BH59" s="23"/>
      <c r="BI59" s="23"/>
      <c r="BJ59" s="19"/>
      <c r="BK59" s="22"/>
      <c r="BL59" s="23"/>
      <c r="BM59" s="23"/>
      <c r="BN59" s="23"/>
      <c r="BO59" s="23"/>
      <c r="BP59" s="23"/>
      <c r="BQ59" s="23"/>
      <c r="BR59" s="23"/>
      <c r="BS59" s="22"/>
      <c r="BT59" s="23"/>
      <c r="BU59" s="23"/>
      <c r="BV59" s="23" t="e">
        <f t="shared" si="7"/>
        <v>#DIV/0!</v>
      </c>
      <c r="BW59" s="23"/>
      <c r="BX59" s="23" t="e">
        <f t="shared" si="8"/>
        <v>#DIV/0!</v>
      </c>
      <c r="BY59" s="23"/>
      <c r="BZ59" s="23" t="e">
        <f t="shared" si="67"/>
        <v>#DIV/0!</v>
      </c>
      <c r="CA59" s="23"/>
      <c r="CB59" s="23" t="e">
        <f t="shared" si="10"/>
        <v>#DIV/0!</v>
      </c>
      <c r="CC59" s="23" t="e">
        <f t="shared" si="77"/>
        <v>#DIV/0!</v>
      </c>
      <c r="CD59" s="23"/>
      <c r="CE59" s="23" t="e">
        <f t="shared" si="11"/>
        <v>#DIV/0!</v>
      </c>
      <c r="CF59" s="23" t="e">
        <f t="shared" si="78"/>
        <v>#DIV/0!</v>
      </c>
      <c r="CG59" s="23"/>
      <c r="CH59" s="23" t="e">
        <f t="shared" si="26"/>
        <v>#DIV/0!</v>
      </c>
    </row>
    <row r="60" spans="1:86" ht="22.5" hidden="1" customHeight="1" x14ac:dyDescent="0.25">
      <c r="A60" s="9" t="s">
        <v>183</v>
      </c>
      <c r="B60" s="37" t="s">
        <v>184</v>
      </c>
      <c r="C60" s="23"/>
      <c r="D60" s="23"/>
      <c r="E60" s="23"/>
      <c r="F60" s="23"/>
      <c r="G60" s="23"/>
      <c r="H60" s="23">
        <v>11.7</v>
      </c>
      <c r="I60" s="23">
        <v>11.7</v>
      </c>
      <c r="J60" s="23"/>
      <c r="K60" s="23">
        <v>0</v>
      </c>
      <c r="L60" s="23"/>
      <c r="M60" s="23">
        <v>0</v>
      </c>
      <c r="N60" s="23"/>
      <c r="O60" s="23"/>
      <c r="P60" s="23"/>
      <c r="Q60" s="23">
        <v>0</v>
      </c>
      <c r="R60" s="23"/>
      <c r="S60" s="23"/>
      <c r="T60" s="23"/>
      <c r="U60" s="23">
        <v>0</v>
      </c>
      <c r="V60" s="23"/>
      <c r="W60" s="23"/>
      <c r="X60" s="23"/>
      <c r="Y60" s="23">
        <v>0</v>
      </c>
      <c r="Z60" s="23"/>
      <c r="AA60" s="23"/>
      <c r="AB60" s="23"/>
      <c r="AC60" s="23">
        <v>0</v>
      </c>
      <c r="AD60" s="23"/>
      <c r="AE60" s="23"/>
      <c r="AF60" s="23"/>
      <c r="AG60" s="23">
        <v>0</v>
      </c>
      <c r="AH60" s="23"/>
      <c r="AI60" s="23"/>
      <c r="AJ60" s="23"/>
      <c r="AK60" s="23"/>
      <c r="AL60" s="23"/>
      <c r="AM60" s="23">
        <v>0</v>
      </c>
      <c r="AN60" s="23"/>
      <c r="AO60" s="23"/>
      <c r="AP60" s="23"/>
      <c r="AQ60" s="23"/>
      <c r="AR60" s="23"/>
      <c r="AS60" s="23"/>
      <c r="AT60" s="23"/>
      <c r="AU60" s="23"/>
      <c r="AV60" s="23"/>
      <c r="AW60" s="23">
        <v>0</v>
      </c>
      <c r="AX60" s="23"/>
      <c r="AY60" s="23"/>
      <c r="AZ60" s="23"/>
      <c r="BA60" s="23"/>
      <c r="BB60" s="23"/>
      <c r="BC60" s="23"/>
      <c r="BD60" s="23"/>
      <c r="BE60" s="23"/>
      <c r="BF60" s="23">
        <v>0</v>
      </c>
      <c r="BG60" s="23"/>
      <c r="BH60" s="23"/>
      <c r="BI60" s="23"/>
      <c r="BJ60" s="19"/>
      <c r="BK60" s="22"/>
      <c r="BL60" s="23"/>
      <c r="BM60" s="23"/>
      <c r="BN60" s="23"/>
      <c r="BO60" s="23">
        <v>0</v>
      </c>
      <c r="BP60" s="23"/>
      <c r="BQ60" s="23"/>
      <c r="BR60" s="23"/>
      <c r="BS60" s="22"/>
      <c r="BT60" s="23"/>
      <c r="BU60" s="23"/>
      <c r="BV60" s="23" t="e">
        <f t="shared" si="7"/>
        <v>#DIV/0!</v>
      </c>
      <c r="BW60" s="23"/>
      <c r="BX60" s="23" t="e">
        <f t="shared" si="8"/>
        <v>#DIV/0!</v>
      </c>
      <c r="BY60" s="23"/>
      <c r="BZ60" s="23" t="e">
        <f t="shared" si="67"/>
        <v>#DIV/0!</v>
      </c>
      <c r="CA60" s="23"/>
      <c r="CB60" s="23" t="e">
        <f t="shared" si="10"/>
        <v>#DIV/0!</v>
      </c>
      <c r="CC60" s="23" t="e">
        <f t="shared" si="77"/>
        <v>#DIV/0!</v>
      </c>
      <c r="CD60" s="23"/>
      <c r="CE60" s="23" t="e">
        <f t="shared" si="11"/>
        <v>#DIV/0!</v>
      </c>
      <c r="CF60" s="23" t="e">
        <f t="shared" si="78"/>
        <v>#DIV/0!</v>
      </c>
      <c r="CG60" s="23"/>
      <c r="CH60" s="23" t="e">
        <f t="shared" si="26"/>
        <v>#DIV/0!</v>
      </c>
    </row>
    <row r="61" spans="1:86" ht="22.5" hidden="1" customHeight="1" x14ac:dyDescent="0.25">
      <c r="A61" s="9" t="s">
        <v>185</v>
      </c>
      <c r="B61" s="37" t="s">
        <v>186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19"/>
      <c r="BK61" s="22"/>
      <c r="BL61" s="23"/>
      <c r="BM61" s="23"/>
      <c r="BN61" s="23"/>
      <c r="BO61" s="23">
        <v>10</v>
      </c>
      <c r="BP61" s="23"/>
      <c r="BQ61" s="23"/>
      <c r="BR61" s="23"/>
      <c r="BS61" s="22"/>
      <c r="BT61" s="23"/>
      <c r="BU61" s="23"/>
      <c r="BV61" s="23" t="e">
        <f t="shared" si="7"/>
        <v>#DIV/0!</v>
      </c>
      <c r="BW61" s="23"/>
      <c r="BX61" s="23" t="e">
        <f t="shared" si="8"/>
        <v>#DIV/0!</v>
      </c>
      <c r="BY61" s="23"/>
      <c r="BZ61" s="23" t="e">
        <f t="shared" si="67"/>
        <v>#DIV/0!</v>
      </c>
      <c r="CA61" s="23"/>
      <c r="CB61" s="23" t="e">
        <f t="shared" si="10"/>
        <v>#DIV/0!</v>
      </c>
      <c r="CC61" s="23" t="e">
        <f t="shared" si="77"/>
        <v>#DIV/0!</v>
      </c>
      <c r="CD61" s="23"/>
      <c r="CE61" s="23" t="e">
        <f t="shared" si="11"/>
        <v>#DIV/0!</v>
      </c>
      <c r="CF61" s="23" t="e">
        <f t="shared" si="78"/>
        <v>#DIV/0!</v>
      </c>
      <c r="CG61" s="23"/>
      <c r="CH61" s="23"/>
    </row>
    <row r="62" spans="1:86" ht="25.5" hidden="1" customHeight="1" x14ac:dyDescent="0.25">
      <c r="A62" s="9" t="s">
        <v>187</v>
      </c>
      <c r="B62" s="37" t="s">
        <v>188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>
        <v>360</v>
      </c>
      <c r="AV62" s="23">
        <v>360</v>
      </c>
      <c r="AW62" s="23">
        <v>360</v>
      </c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19"/>
      <c r="BK62" s="22"/>
      <c r="BL62" s="23"/>
      <c r="BM62" s="23"/>
      <c r="BN62" s="23"/>
      <c r="BO62" s="23"/>
      <c r="BP62" s="23"/>
      <c r="BQ62" s="23"/>
      <c r="BR62" s="23"/>
      <c r="BS62" s="22"/>
      <c r="BT62" s="23"/>
      <c r="BU62" s="23"/>
      <c r="BV62" s="23" t="e">
        <f t="shared" si="7"/>
        <v>#DIV/0!</v>
      </c>
      <c r="BW62" s="23"/>
      <c r="BX62" s="23" t="e">
        <f t="shared" si="8"/>
        <v>#DIV/0!</v>
      </c>
      <c r="BY62" s="23"/>
      <c r="BZ62" s="23" t="e">
        <f t="shared" si="67"/>
        <v>#DIV/0!</v>
      </c>
      <c r="CA62" s="23"/>
      <c r="CB62" s="23" t="e">
        <f t="shared" si="10"/>
        <v>#DIV/0!</v>
      </c>
      <c r="CC62" s="23" t="e">
        <f t="shared" si="77"/>
        <v>#DIV/0!</v>
      </c>
      <c r="CD62" s="23"/>
      <c r="CE62" s="23" t="e">
        <f t="shared" si="11"/>
        <v>#DIV/0!</v>
      </c>
      <c r="CF62" s="23" t="e">
        <f t="shared" si="78"/>
        <v>#DIV/0!</v>
      </c>
      <c r="CG62" s="23"/>
      <c r="CH62" s="23" t="e">
        <f t="shared" ref="CH62:CH63" si="79">CG62/CD62*100</f>
        <v>#DIV/0!</v>
      </c>
    </row>
    <row r="63" spans="1:86" ht="22.5" hidden="1" customHeight="1" x14ac:dyDescent="0.25">
      <c r="A63" s="9"/>
      <c r="B63" s="37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19"/>
      <c r="BK63" s="22"/>
      <c r="BL63" s="23"/>
      <c r="BM63" s="23"/>
      <c r="BN63" s="23"/>
      <c r="BO63" s="23"/>
      <c r="BP63" s="23"/>
      <c r="BQ63" s="23"/>
      <c r="BR63" s="23"/>
      <c r="BS63" s="22"/>
      <c r="BT63" s="23"/>
      <c r="BU63" s="23"/>
      <c r="BV63" s="23" t="e">
        <f t="shared" si="7"/>
        <v>#DIV/0!</v>
      </c>
      <c r="BW63" s="23"/>
      <c r="BX63" s="23" t="e">
        <f t="shared" si="8"/>
        <v>#DIV/0!</v>
      </c>
      <c r="BY63" s="23"/>
      <c r="BZ63" s="23" t="e">
        <f t="shared" si="67"/>
        <v>#DIV/0!</v>
      </c>
      <c r="CA63" s="23"/>
      <c r="CB63" s="23" t="e">
        <f t="shared" si="10"/>
        <v>#DIV/0!</v>
      </c>
      <c r="CC63" s="23" t="e">
        <f t="shared" si="77"/>
        <v>#DIV/0!</v>
      </c>
      <c r="CD63" s="23"/>
      <c r="CE63" s="23" t="e">
        <f t="shared" si="11"/>
        <v>#DIV/0!</v>
      </c>
      <c r="CF63" s="23" t="e">
        <f t="shared" si="78"/>
        <v>#DIV/0!</v>
      </c>
      <c r="CG63" s="23"/>
      <c r="CH63" s="23" t="e">
        <f t="shared" si="79"/>
        <v>#DIV/0!</v>
      </c>
    </row>
    <row r="64" spans="1:86" s="36" customFormat="1" ht="24" customHeight="1" x14ac:dyDescent="0.25">
      <c r="A64" s="17" t="s">
        <v>189</v>
      </c>
      <c r="B64" s="39" t="s">
        <v>190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f>0.2/1000</f>
        <v>2.0000000000000001E-4</v>
      </c>
      <c r="M64" s="19">
        <f>0.2/1000</f>
        <v>2.0000000000000001E-4</v>
      </c>
      <c r="N64" s="19">
        <v>0</v>
      </c>
      <c r="O64" s="19">
        <v>0</v>
      </c>
      <c r="P64" s="19">
        <f>0.2/1000</f>
        <v>2.0000000000000001E-4</v>
      </c>
      <c r="Q64" s="19">
        <f>0.2/1000</f>
        <v>2.0000000000000001E-4</v>
      </c>
      <c r="R64" s="19">
        <v>0</v>
      </c>
      <c r="S64" s="19">
        <v>0</v>
      </c>
      <c r="T64" s="19">
        <f>0.2/1000</f>
        <v>2.0000000000000001E-4</v>
      </c>
      <c r="U64" s="19">
        <f>0.2/1000</f>
        <v>2.0000000000000001E-4</v>
      </c>
      <c r="V64" s="19">
        <v>0</v>
      </c>
      <c r="W64" s="19">
        <v>0</v>
      </c>
      <c r="X64" s="19">
        <f>0.2/1000</f>
        <v>2.0000000000000001E-4</v>
      </c>
      <c r="Y64" s="19">
        <f>0.2/1000</f>
        <v>2.0000000000000001E-4</v>
      </c>
      <c r="Z64" s="19">
        <v>0</v>
      </c>
      <c r="AA64" s="19">
        <v>0</v>
      </c>
      <c r="AB64" s="19">
        <v>37.012889999999999</v>
      </c>
      <c r="AC64" s="19">
        <v>37.012889999999999</v>
      </c>
      <c r="AD64" s="19">
        <v>0</v>
      </c>
      <c r="AE64" s="19">
        <v>0</v>
      </c>
      <c r="AF64" s="19">
        <v>-37.012889999999999</v>
      </c>
      <c r="AG64" s="19">
        <v>-37.012889999999999</v>
      </c>
      <c r="AH64" s="19">
        <v>0</v>
      </c>
      <c r="AI64" s="19">
        <v>0</v>
      </c>
      <c r="AJ64" s="19">
        <v>0</v>
      </c>
      <c r="AK64" s="19">
        <v>0</v>
      </c>
      <c r="AL64" s="19">
        <v>4.1870000000000003</v>
      </c>
      <c r="AM64" s="19">
        <f>AM67</f>
        <v>79481.023929999996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-4.1870000000000003</v>
      </c>
      <c r="AW64" s="19"/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/>
      <c r="BD64" s="19"/>
      <c r="BE64" s="19">
        <v>8.4727399999999999</v>
      </c>
      <c r="BF64" s="19">
        <f>BF67</f>
        <v>935</v>
      </c>
      <c r="BG64" s="19">
        <v>0</v>
      </c>
      <c r="BH64" s="19">
        <v>0</v>
      </c>
      <c r="BI64" s="19">
        <v>0</v>
      </c>
      <c r="BJ64" s="19"/>
      <c r="BK64" s="22">
        <v>505.7</v>
      </c>
      <c r="BL64" s="19">
        <f>BL66</f>
        <v>355.7</v>
      </c>
      <c r="BM64" s="19">
        <f>-8.5+355.7</f>
        <v>347.2</v>
      </c>
      <c r="BN64" s="19">
        <f>BN65+BN66</f>
        <v>347.22726</v>
      </c>
      <c r="BO64" s="19">
        <f>BO65+BO66+BO67</f>
        <v>355.7</v>
      </c>
      <c r="BP64" s="19">
        <v>0</v>
      </c>
      <c r="BQ64" s="19">
        <v>0</v>
      </c>
      <c r="BR64" s="19">
        <v>0</v>
      </c>
      <c r="BS64" s="22">
        <v>0</v>
      </c>
      <c r="BT64" s="19">
        <f>BT66</f>
        <v>288.60000000000002</v>
      </c>
      <c r="BU64" s="19">
        <f>BU66</f>
        <v>288.60000000000002</v>
      </c>
      <c r="BV64" s="49">
        <f t="shared" si="7"/>
        <v>4098.1696594017994</v>
      </c>
      <c r="BW64" s="19">
        <f>BW66</f>
        <v>288.60000000000002</v>
      </c>
      <c r="BX64" s="23">
        <f t="shared" si="8"/>
        <v>100</v>
      </c>
      <c r="BY64" s="19">
        <f>BY66</f>
        <v>288.60000000000002</v>
      </c>
      <c r="BZ64" s="23">
        <f t="shared" si="67"/>
        <v>83.115594092468442</v>
      </c>
      <c r="CA64" s="19"/>
      <c r="CB64" s="23"/>
      <c r="CC64" s="23"/>
      <c r="CD64" s="19"/>
      <c r="CE64" s="23"/>
      <c r="CF64" s="23"/>
      <c r="CG64" s="19"/>
      <c r="CH64" s="23"/>
    </row>
    <row r="65" spans="1:86" s="40" customFormat="1" ht="24.75" hidden="1" customHeight="1" x14ac:dyDescent="0.25">
      <c r="A65" s="9" t="s">
        <v>191</v>
      </c>
      <c r="B65" s="37" t="s">
        <v>192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6"/>
      <c r="BL65" s="23"/>
      <c r="BM65" s="23"/>
      <c r="BN65" s="23">
        <v>-8.4727399999999999</v>
      </c>
      <c r="BO65" s="23"/>
      <c r="BP65" s="23"/>
      <c r="BQ65" s="23"/>
      <c r="BR65" s="23"/>
      <c r="BS65" s="26"/>
      <c r="BT65" s="23"/>
      <c r="BU65" s="23"/>
      <c r="BV65" s="23" t="e">
        <f t="shared" si="7"/>
        <v>#DIV/0!</v>
      </c>
      <c r="BW65" s="23"/>
      <c r="BX65" s="23" t="e">
        <f t="shared" si="8"/>
        <v>#DIV/0!</v>
      </c>
      <c r="BY65" s="23"/>
      <c r="BZ65" s="23">
        <f t="shared" si="67"/>
        <v>0</v>
      </c>
      <c r="CA65" s="23"/>
      <c r="CB65" s="23" t="e">
        <f t="shared" si="10"/>
        <v>#DIV/0!</v>
      </c>
      <c r="CC65" s="23" t="e">
        <f>CA65/BQ65*100</f>
        <v>#DIV/0!</v>
      </c>
      <c r="CD65" s="23"/>
      <c r="CE65" s="23" t="e">
        <f t="shared" si="11"/>
        <v>#DIV/0!</v>
      </c>
      <c r="CF65" s="23" t="e">
        <f>CD65/BR65*100</f>
        <v>#DIV/0!</v>
      </c>
      <c r="CG65" s="23"/>
      <c r="CH65" s="23"/>
    </row>
    <row r="66" spans="1:86" s="40" customFormat="1" ht="24.75" hidden="1" customHeight="1" x14ac:dyDescent="0.25">
      <c r="A66" s="9" t="s">
        <v>193</v>
      </c>
      <c r="B66" s="37" t="s">
        <v>194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6"/>
      <c r="BL66" s="23">
        <v>355.7</v>
      </c>
      <c r="BM66" s="23"/>
      <c r="BN66" s="23">
        <v>355.7</v>
      </c>
      <c r="BO66" s="23">
        <v>355.7</v>
      </c>
      <c r="BP66" s="23"/>
      <c r="BQ66" s="23"/>
      <c r="BR66" s="23"/>
      <c r="BS66" s="26"/>
      <c r="BT66" s="23">
        <f>98.6+190</f>
        <v>288.60000000000002</v>
      </c>
      <c r="BU66" s="23">
        <f>98.6+190</f>
        <v>288.60000000000002</v>
      </c>
      <c r="BV66" s="23" t="e">
        <f t="shared" si="7"/>
        <v>#DIV/0!</v>
      </c>
      <c r="BW66" s="23">
        <f>98.6+190</f>
        <v>288.60000000000002</v>
      </c>
      <c r="BX66" s="23">
        <f t="shared" si="8"/>
        <v>100</v>
      </c>
      <c r="BY66" s="23">
        <f>98.6+190</f>
        <v>288.60000000000002</v>
      </c>
      <c r="BZ66" s="23">
        <f t="shared" si="67"/>
        <v>81.135788585886985</v>
      </c>
      <c r="CA66" s="23"/>
      <c r="CB66" s="23">
        <f t="shared" si="10"/>
        <v>0</v>
      </c>
      <c r="CC66" s="23" t="e">
        <f>CA66/BQ66*100</f>
        <v>#DIV/0!</v>
      </c>
      <c r="CD66" s="23"/>
      <c r="CE66" s="23" t="e">
        <f t="shared" si="11"/>
        <v>#DIV/0!</v>
      </c>
      <c r="CF66" s="23" t="e">
        <f>CD66/BR66*100</f>
        <v>#DIV/0!</v>
      </c>
      <c r="CG66" s="23"/>
      <c r="CH66" s="23"/>
    </row>
    <row r="67" spans="1:86" s="36" customFormat="1" ht="22.5" hidden="1" customHeight="1" x14ac:dyDescent="0.25">
      <c r="A67" s="17" t="s">
        <v>195</v>
      </c>
      <c r="B67" s="3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>
        <v>79481.023929999996</v>
      </c>
      <c r="AN67" s="19"/>
      <c r="AO67" s="19"/>
      <c r="AP67" s="19"/>
      <c r="AQ67" s="19"/>
      <c r="AR67" s="19"/>
      <c r="AS67" s="19"/>
      <c r="AT67" s="19"/>
      <c r="AU67" s="19"/>
      <c r="AV67" s="19"/>
      <c r="AW67" s="19">
        <v>79481.023929999996</v>
      </c>
      <c r="AX67" s="19"/>
      <c r="AY67" s="19"/>
      <c r="AZ67" s="19"/>
      <c r="BA67" s="19"/>
      <c r="BB67" s="19"/>
      <c r="BC67" s="19"/>
      <c r="BD67" s="19"/>
      <c r="BE67" s="19"/>
      <c r="BF67" s="19">
        <v>935</v>
      </c>
      <c r="BG67" s="19"/>
      <c r="BH67" s="19"/>
      <c r="BI67" s="19"/>
      <c r="BJ67" s="19"/>
      <c r="BK67" s="22"/>
      <c r="BL67" s="19"/>
      <c r="BM67" s="19"/>
      <c r="BN67" s="19"/>
      <c r="BO67" s="19"/>
      <c r="BP67" s="19"/>
      <c r="BQ67" s="19"/>
      <c r="BR67" s="19"/>
      <c r="BS67" s="22"/>
      <c r="BT67" s="19"/>
      <c r="BU67" s="19"/>
      <c r="BV67" s="23" t="e">
        <f t="shared" si="7"/>
        <v>#DIV/0!</v>
      </c>
      <c r="BW67" s="19"/>
      <c r="BX67" s="23" t="e">
        <f t="shared" si="8"/>
        <v>#DIV/0!</v>
      </c>
      <c r="BY67" s="19"/>
      <c r="BZ67" s="23" t="e">
        <f t="shared" si="67"/>
        <v>#DIV/0!</v>
      </c>
      <c r="CA67" s="19"/>
      <c r="CB67" s="23" t="e">
        <f t="shared" si="10"/>
        <v>#DIV/0!</v>
      </c>
      <c r="CC67" s="23" t="e">
        <f>CA67/BQ67*100</f>
        <v>#DIV/0!</v>
      </c>
      <c r="CD67" s="19"/>
      <c r="CE67" s="23" t="e">
        <f t="shared" si="11"/>
        <v>#DIV/0!</v>
      </c>
      <c r="CF67" s="23" t="e">
        <f>CD67/BR67*100</f>
        <v>#DIV/0!</v>
      </c>
      <c r="CG67" s="19"/>
      <c r="CH67" s="23" t="e">
        <f t="shared" ref="CH67:CH114" si="80">CG67/CD67*100</f>
        <v>#DIV/0!</v>
      </c>
    </row>
    <row r="68" spans="1:86" ht="22.5" customHeight="1" x14ac:dyDescent="0.25">
      <c r="A68" s="17" t="s">
        <v>196</v>
      </c>
      <c r="B68" s="18" t="s">
        <v>197</v>
      </c>
      <c r="C68" s="19">
        <f t="shared" ref="C68:BN68" si="81">C70+C125+C120</f>
        <v>31417.117000000002</v>
      </c>
      <c r="D68" s="19">
        <f t="shared" si="81"/>
        <v>25706.600000000002</v>
      </c>
      <c r="E68" s="19">
        <f t="shared" si="81"/>
        <v>50784.3</v>
      </c>
      <c r="F68" s="19">
        <f t="shared" si="81"/>
        <v>47549.112650000003</v>
      </c>
      <c r="G68" s="19">
        <f t="shared" si="81"/>
        <v>27846.400000000001</v>
      </c>
      <c r="H68" s="19">
        <f t="shared" si="81"/>
        <v>37875.700000000004</v>
      </c>
      <c r="I68" s="19">
        <f t="shared" si="81"/>
        <v>37873.657959999997</v>
      </c>
      <c r="J68" s="19">
        <f t="shared" si="81"/>
        <v>28847.9</v>
      </c>
      <c r="K68" s="19">
        <f t="shared" si="81"/>
        <v>36280.5</v>
      </c>
      <c r="L68" s="19">
        <f t="shared" si="81"/>
        <v>36267.998719999996</v>
      </c>
      <c r="M68" s="19">
        <f t="shared" si="81"/>
        <v>142383.83863000001</v>
      </c>
      <c r="N68" s="19">
        <f t="shared" si="81"/>
        <v>29131.300000000003</v>
      </c>
      <c r="O68" s="19">
        <f t="shared" si="81"/>
        <v>42550.9</v>
      </c>
      <c r="P68" s="19">
        <f t="shared" si="81"/>
        <v>42159.500910000002</v>
      </c>
      <c r="Q68" s="19">
        <f t="shared" si="81"/>
        <v>194224.14927000002</v>
      </c>
      <c r="R68" s="19">
        <f t="shared" si="81"/>
        <v>41274.400000000001</v>
      </c>
      <c r="S68" s="19">
        <f t="shared" si="81"/>
        <v>43804.2</v>
      </c>
      <c r="T68" s="19">
        <f t="shared" si="81"/>
        <v>43804.127990000001</v>
      </c>
      <c r="U68" s="19">
        <f t="shared" si="81"/>
        <v>118346.59461</v>
      </c>
      <c r="V68" s="19">
        <f t="shared" si="81"/>
        <v>29644.3</v>
      </c>
      <c r="W68" s="19">
        <f t="shared" si="81"/>
        <v>56685.3</v>
      </c>
      <c r="X68" s="19">
        <f t="shared" si="81"/>
        <v>56600.923360000001</v>
      </c>
      <c r="Y68" s="19">
        <f t="shared" si="81"/>
        <v>196067.09779999999</v>
      </c>
      <c r="Z68" s="19">
        <f t="shared" si="81"/>
        <v>28989</v>
      </c>
      <c r="AA68" s="19">
        <f t="shared" si="81"/>
        <v>37510.14</v>
      </c>
      <c r="AB68" s="19">
        <f t="shared" si="81"/>
        <v>37510.149740000001</v>
      </c>
      <c r="AC68" s="19">
        <f t="shared" si="81"/>
        <v>210541.60527</v>
      </c>
      <c r="AD68" s="19">
        <f t="shared" si="81"/>
        <v>29590.899999999998</v>
      </c>
      <c r="AE68" s="19">
        <f t="shared" si="81"/>
        <v>39042.899999999994</v>
      </c>
      <c r="AF68" s="19">
        <f t="shared" si="81"/>
        <v>39042.954549999995</v>
      </c>
      <c r="AG68" s="19">
        <f t="shared" si="81"/>
        <v>98672.852529999989</v>
      </c>
      <c r="AH68" s="19">
        <f t="shared" si="81"/>
        <v>32823.700000000004</v>
      </c>
      <c r="AI68" s="19">
        <f t="shared" si="81"/>
        <v>32024</v>
      </c>
      <c r="AJ68" s="19">
        <f t="shared" si="81"/>
        <v>32001.1</v>
      </c>
      <c r="AK68" s="19">
        <f t="shared" si="81"/>
        <v>78336.299999999988</v>
      </c>
      <c r="AL68" s="19">
        <f t="shared" si="81"/>
        <v>78336.312600000005</v>
      </c>
      <c r="AM68" s="19">
        <f t="shared" si="81"/>
        <v>165717.15621000002</v>
      </c>
      <c r="AN68" s="19">
        <f t="shared" si="81"/>
        <v>29090.100000000002</v>
      </c>
      <c r="AO68" s="19">
        <f t="shared" si="81"/>
        <v>29090.100000000002</v>
      </c>
      <c r="AP68" s="19">
        <f t="shared" si="81"/>
        <v>29090.100000000002</v>
      </c>
      <c r="AQ68" s="19">
        <f t="shared" si="81"/>
        <v>43318</v>
      </c>
      <c r="AR68" s="19">
        <f t="shared" si="81"/>
        <v>47445.8</v>
      </c>
      <c r="AS68" s="19">
        <f t="shared" si="81"/>
        <v>41408.5</v>
      </c>
      <c r="AT68" s="19">
        <f t="shared" si="81"/>
        <v>44033.200000000004</v>
      </c>
      <c r="AU68" s="19">
        <f t="shared" si="81"/>
        <v>50260.200000000004</v>
      </c>
      <c r="AV68" s="19">
        <f t="shared" si="81"/>
        <v>50071.069930000005</v>
      </c>
      <c r="AW68" s="19">
        <f t="shared" si="81"/>
        <v>88112.027549999999</v>
      </c>
      <c r="AX68" s="19">
        <f t="shared" si="81"/>
        <v>41406.800000000003</v>
      </c>
      <c r="AY68" s="19">
        <f t="shared" si="81"/>
        <v>25606.200000000004</v>
      </c>
      <c r="AZ68" s="19">
        <f t="shared" si="81"/>
        <v>25562.5</v>
      </c>
      <c r="BA68" s="19">
        <f t="shared" si="81"/>
        <v>45206.100000000006</v>
      </c>
      <c r="BB68" s="19">
        <f t="shared" si="81"/>
        <v>50765.900000000009</v>
      </c>
      <c r="BC68" s="19">
        <f t="shared" si="81"/>
        <v>38049.800000000003</v>
      </c>
      <c r="BD68" s="19">
        <f t="shared" si="81"/>
        <v>62120.4</v>
      </c>
      <c r="BE68" s="19">
        <f t="shared" si="81"/>
        <v>62115.89837000001</v>
      </c>
      <c r="BF68" s="19">
        <f t="shared" si="81"/>
        <v>126366.49091000001</v>
      </c>
      <c r="BG68" s="19">
        <f t="shared" si="81"/>
        <v>38065.300000000003</v>
      </c>
      <c r="BH68" s="19">
        <f t="shared" si="81"/>
        <v>30087.200000000001</v>
      </c>
      <c r="BI68" s="19">
        <f t="shared" si="81"/>
        <v>29835.5</v>
      </c>
      <c r="BJ68" s="19">
        <f t="shared" si="81"/>
        <v>39849.300000000003</v>
      </c>
      <c r="BK68" s="19">
        <f t="shared" si="81"/>
        <v>59502.2</v>
      </c>
      <c r="BL68" s="19">
        <f t="shared" si="81"/>
        <v>71905.8</v>
      </c>
      <c r="BM68" s="19">
        <f t="shared" si="81"/>
        <v>68788.100000000006</v>
      </c>
      <c r="BN68" s="19">
        <f t="shared" si="81"/>
        <v>71905.772979999994</v>
      </c>
      <c r="BO68" s="19">
        <f t="shared" ref="BO68:BW68" si="82">BO70+BO125+BO120</f>
        <v>86504.761659999989</v>
      </c>
      <c r="BP68" s="19">
        <f t="shared" si="82"/>
        <v>40054.199999999997</v>
      </c>
      <c r="BQ68" s="19">
        <f t="shared" si="82"/>
        <v>29155.5</v>
      </c>
      <c r="BR68" s="19">
        <f t="shared" si="82"/>
        <v>28671.9</v>
      </c>
      <c r="BS68" s="19">
        <f t="shared" si="82"/>
        <v>40965.399999999994</v>
      </c>
      <c r="BT68" s="19">
        <f t="shared" si="82"/>
        <v>70254</v>
      </c>
      <c r="BU68" s="19">
        <f t="shared" si="82"/>
        <v>70788.2</v>
      </c>
      <c r="BV68" s="23">
        <f t="shared" si="7"/>
        <v>115.7606584898532</v>
      </c>
      <c r="BW68" s="19">
        <f t="shared" si="82"/>
        <v>39431.899999999994</v>
      </c>
      <c r="BX68" s="23">
        <f t="shared" si="8"/>
        <v>55.70405802096959</v>
      </c>
      <c r="BY68" s="19">
        <f>BY70+BY125+BY120</f>
        <v>70788.2</v>
      </c>
      <c r="BZ68" s="23">
        <f t="shared" si="67"/>
        <v>98.445781286141184</v>
      </c>
      <c r="CA68" s="19">
        <f>CA70+CA125+CA120</f>
        <v>36628.700000000004</v>
      </c>
      <c r="CB68" s="23">
        <f t="shared" si="10"/>
        <v>51.74407599006615</v>
      </c>
      <c r="CC68" s="23">
        <f>CA68/BQ68*100</f>
        <v>125.63221347601655</v>
      </c>
      <c r="CD68" s="19">
        <f>CD70+CD125+CD120</f>
        <v>34621.9</v>
      </c>
      <c r="CE68" s="23">
        <f t="shared" si="11"/>
        <v>94.521236079904554</v>
      </c>
      <c r="CF68" s="23">
        <f>CD68/BR68*100</f>
        <v>120.75202550232109</v>
      </c>
      <c r="CG68" s="19">
        <f>CG70+CG125+CG120</f>
        <v>34299.199999999997</v>
      </c>
      <c r="CH68" s="23">
        <f t="shared" si="80"/>
        <v>99.067930991655558</v>
      </c>
    </row>
    <row r="69" spans="1:86" ht="20.25" customHeight="1" x14ac:dyDescent="0.25">
      <c r="A69" s="17"/>
      <c r="B69" s="18" t="s">
        <v>89</v>
      </c>
      <c r="C69" s="19">
        <f t="shared" ref="C69:BN69" si="83">C68/C126*100</f>
        <v>66.060602194579047</v>
      </c>
      <c r="D69" s="19">
        <f t="shared" si="83"/>
        <v>65.780100103378743</v>
      </c>
      <c r="E69" s="19">
        <f t="shared" si="83"/>
        <v>77.613502811302666</v>
      </c>
      <c r="F69" s="19">
        <f t="shared" si="83"/>
        <v>77.551368705999593</v>
      </c>
      <c r="G69" s="19">
        <f t="shared" si="83"/>
        <v>64.598474954125678</v>
      </c>
      <c r="H69" s="19">
        <f t="shared" si="83"/>
        <v>71.280407706986949</v>
      </c>
      <c r="I69" s="19">
        <f t="shared" si="83"/>
        <v>72.385512978301577</v>
      </c>
      <c r="J69" s="19">
        <f t="shared" si="83"/>
        <v>66.432466539549196</v>
      </c>
      <c r="K69" s="19">
        <f t="shared" si="83"/>
        <v>71.338262186129739</v>
      </c>
      <c r="L69" s="19">
        <f t="shared" si="83"/>
        <v>72.165057943186099</v>
      </c>
      <c r="M69" s="19">
        <f t="shared" si="83"/>
        <v>91.059115308198272</v>
      </c>
      <c r="N69" s="19">
        <f t="shared" si="83"/>
        <v>65.77354409430508</v>
      </c>
      <c r="O69" s="19">
        <f t="shared" si="83"/>
        <v>74.899183079303441</v>
      </c>
      <c r="P69" s="19">
        <f t="shared" si="83"/>
        <v>76.195981787984721</v>
      </c>
      <c r="Q69" s="19">
        <f t="shared" si="83"/>
        <v>118.79579633903872</v>
      </c>
      <c r="R69" s="19">
        <f t="shared" si="83"/>
        <v>75.147657507410187</v>
      </c>
      <c r="S69" s="19">
        <f t="shared" si="83"/>
        <v>74.00108119066121</v>
      </c>
      <c r="T69" s="19">
        <f t="shared" si="83"/>
        <v>73.924579453938506</v>
      </c>
      <c r="U69" s="19">
        <f t="shared" si="83"/>
        <v>94.487312627188729</v>
      </c>
      <c r="V69" s="19">
        <f t="shared" si="83"/>
        <v>61.246906113962197</v>
      </c>
      <c r="W69" s="19">
        <f t="shared" si="83"/>
        <v>74.804330010913446</v>
      </c>
      <c r="X69" s="19">
        <f t="shared" si="83"/>
        <v>74.618909519773041</v>
      </c>
      <c r="Y69" s="19">
        <f t="shared" si="83"/>
        <v>91.074967252064326</v>
      </c>
      <c r="Z69" s="19">
        <f t="shared" si="83"/>
        <v>61.187011547924584</v>
      </c>
      <c r="AA69" s="19">
        <f t="shared" si="83"/>
        <v>64.627594139534438</v>
      </c>
      <c r="AB69" s="19">
        <f t="shared" si="83"/>
        <v>63.130730125005428</v>
      </c>
      <c r="AC69" s="19">
        <f t="shared" si="83"/>
        <v>89.726644295680927</v>
      </c>
      <c r="AD69" s="19">
        <f t="shared" si="83"/>
        <v>59.600070901665028</v>
      </c>
      <c r="AE69" s="19">
        <f t="shared" si="83"/>
        <v>63.892470936321729</v>
      </c>
      <c r="AF69" s="19">
        <f t="shared" si="83"/>
        <v>63.363031124362692</v>
      </c>
      <c r="AG69" s="19">
        <f t="shared" si="83"/>
        <v>110.55898125185561</v>
      </c>
      <c r="AH69" s="19">
        <f t="shared" si="83"/>
        <v>60.547594754965459</v>
      </c>
      <c r="AI69" s="19">
        <f t="shared" si="83"/>
        <v>60.078266075639732</v>
      </c>
      <c r="AJ69" s="19">
        <f t="shared" si="83"/>
        <v>60.020554071198553</v>
      </c>
      <c r="AK69" s="19">
        <f t="shared" si="83"/>
        <v>77.633022449628811</v>
      </c>
      <c r="AL69" s="19">
        <f t="shared" si="83"/>
        <v>77.574925266457058</v>
      </c>
      <c r="AM69" s="19">
        <f t="shared" si="83"/>
        <v>61.860531634428703</v>
      </c>
      <c r="AN69" s="19">
        <f t="shared" si="83"/>
        <v>55.978022350418058</v>
      </c>
      <c r="AO69" s="19">
        <f t="shared" si="83"/>
        <v>55.971559992633956</v>
      </c>
      <c r="AP69" s="19">
        <f t="shared" si="83"/>
        <v>55.965099126765629</v>
      </c>
      <c r="AQ69" s="19">
        <f t="shared" si="83"/>
        <v>64.90229745562857</v>
      </c>
      <c r="AR69" s="19">
        <f t="shared" si="83"/>
        <v>66.822435171570703</v>
      </c>
      <c r="AS69" s="19">
        <f t="shared" si="83"/>
        <v>63.001608189136427</v>
      </c>
      <c r="AT69" s="19">
        <f t="shared" si="83"/>
        <v>63.804765520399229</v>
      </c>
      <c r="AU69" s="19">
        <f t="shared" si="83"/>
        <v>65.911818049484808</v>
      </c>
      <c r="AV69" s="19">
        <f t="shared" si="83"/>
        <v>64.628134249696387</v>
      </c>
      <c r="AW69" s="19">
        <f t="shared" si="83"/>
        <v>82.11832192797506</v>
      </c>
      <c r="AX69" s="19">
        <f t="shared" si="83"/>
        <v>62.466318598973245</v>
      </c>
      <c r="AY69" s="19">
        <f t="shared" si="83"/>
        <v>50.266976681835573</v>
      </c>
      <c r="AZ69" s="19">
        <f t="shared" si="83"/>
        <v>50.165138228497376</v>
      </c>
      <c r="BA69" s="19">
        <f t="shared" si="83"/>
        <v>63.489395050180754</v>
      </c>
      <c r="BB69" s="19">
        <f t="shared" si="83"/>
        <v>65.268158471596365</v>
      </c>
      <c r="BC69" s="19">
        <f t="shared" si="83"/>
        <v>56.610690475517423</v>
      </c>
      <c r="BD69" s="19">
        <f t="shared" si="83"/>
        <v>66.989317580376962</v>
      </c>
      <c r="BE69" s="19">
        <f t="shared" si="83"/>
        <v>66.254524646070507</v>
      </c>
      <c r="BF69" s="19">
        <f t="shared" si="83"/>
        <v>95.711513887531808</v>
      </c>
      <c r="BG69" s="19">
        <f t="shared" si="83"/>
        <v>58.500078108322938</v>
      </c>
      <c r="BH69" s="19">
        <f t="shared" si="83"/>
        <v>52.287734350481287</v>
      </c>
      <c r="BI69" s="19">
        <f t="shared" si="83"/>
        <v>51.828604461068053</v>
      </c>
      <c r="BJ69" s="19">
        <f t="shared" si="83"/>
        <v>59.157470005077087</v>
      </c>
      <c r="BK69" s="19">
        <f t="shared" si="83"/>
        <v>67.986974405850091</v>
      </c>
      <c r="BL69" s="19">
        <f t="shared" si="83"/>
        <v>69.312741044773958</v>
      </c>
      <c r="BM69" s="19">
        <f t="shared" si="83"/>
        <v>67.243712307827508</v>
      </c>
      <c r="BN69" s="19">
        <f t="shared" si="83"/>
        <v>67.618162176500675</v>
      </c>
      <c r="BO69" s="19">
        <f t="shared" ref="BO69:BW69" si="84">BO68/BO126*100</f>
        <v>75.872328843966869</v>
      </c>
      <c r="BP69" s="19">
        <f t="shared" si="84"/>
        <v>55.442251128606671</v>
      </c>
      <c r="BQ69" s="19">
        <f t="shared" si="84"/>
        <v>46.931060661942276</v>
      </c>
      <c r="BR69" s="19">
        <f t="shared" si="84"/>
        <v>46.096597202326699</v>
      </c>
      <c r="BS69" s="19">
        <f t="shared" si="84"/>
        <v>55.997244248941648</v>
      </c>
      <c r="BT69" s="19">
        <f t="shared" si="84"/>
        <v>68.373522997013154</v>
      </c>
      <c r="BU69" s="19">
        <f t="shared" si="84"/>
        <v>67.628269125128369</v>
      </c>
      <c r="BV69" s="23"/>
      <c r="BW69" s="19">
        <f t="shared" si="84"/>
        <v>61.602237132970373</v>
      </c>
      <c r="BX69" s="23"/>
      <c r="BY69" s="19">
        <f>BY68/BY126*100</f>
        <v>66.616100257004092</v>
      </c>
      <c r="BZ69" s="23"/>
      <c r="CA69" s="19">
        <f>CA68/CA126*100</f>
        <v>52.16514986652836</v>
      </c>
      <c r="CB69" s="23"/>
      <c r="CC69" s="23"/>
      <c r="CD69" s="19">
        <f>CD68/CD126*100</f>
        <v>50.446738023593795</v>
      </c>
      <c r="CE69" s="23"/>
      <c r="CF69" s="23"/>
      <c r="CG69" s="19">
        <f>CG68/CG126*100</f>
        <v>48.896592009252792</v>
      </c>
      <c r="CH69" s="23"/>
    </row>
    <row r="70" spans="1:86" ht="31.5" customHeight="1" x14ac:dyDescent="0.25">
      <c r="A70" s="17" t="s">
        <v>198</v>
      </c>
      <c r="B70" s="18" t="s">
        <v>199</v>
      </c>
      <c r="C70" s="19">
        <f t="shared" ref="C70:L70" si="85">C73+C88+C76+C92</f>
        <v>31417.117000000002</v>
      </c>
      <c r="D70" s="19">
        <f t="shared" si="85"/>
        <v>25706.600000000002</v>
      </c>
      <c r="E70" s="19">
        <f t="shared" si="85"/>
        <v>50784.3</v>
      </c>
      <c r="F70" s="19">
        <f t="shared" si="85"/>
        <v>47549.112650000003</v>
      </c>
      <c r="G70" s="19">
        <f t="shared" si="85"/>
        <v>27846.400000000001</v>
      </c>
      <c r="H70" s="19">
        <f t="shared" si="85"/>
        <v>37875.700000000004</v>
      </c>
      <c r="I70" s="19">
        <f t="shared" si="85"/>
        <v>37873.657959999997</v>
      </c>
      <c r="J70" s="19">
        <f t="shared" si="85"/>
        <v>28847.9</v>
      </c>
      <c r="K70" s="19">
        <f t="shared" si="85"/>
        <v>36038</v>
      </c>
      <c r="L70" s="19">
        <f t="shared" si="85"/>
        <v>36025.459719999999</v>
      </c>
      <c r="M70" s="19">
        <f>M73+M88+M76+M92+M122+M119</f>
        <v>136433.37505</v>
      </c>
      <c r="N70" s="19">
        <f>N73+N88+N76+N92</f>
        <v>29131.300000000003</v>
      </c>
      <c r="O70" s="19">
        <f>O73+O88+O76+O92</f>
        <v>42450.9</v>
      </c>
      <c r="P70" s="19">
        <f>P73+P88+P76+P92</f>
        <v>42059.500910000002</v>
      </c>
      <c r="Q70" s="19">
        <f>Q73+Q88+Q76+Q92+Q122+Q119</f>
        <v>177430.27063000001</v>
      </c>
      <c r="R70" s="19">
        <f>R73+R88+R76+R92</f>
        <v>41274.400000000001</v>
      </c>
      <c r="S70" s="19">
        <f>S73+S88+S76+S92</f>
        <v>43754.2</v>
      </c>
      <c r="T70" s="19">
        <f>T73+T88+T76+T92</f>
        <v>43754.127990000001</v>
      </c>
      <c r="U70" s="19">
        <f>U73+U88+U76+U92+U122+U119</f>
        <v>117162.103</v>
      </c>
      <c r="V70" s="19">
        <f>V73+V88+V76+V92</f>
        <v>29644.3</v>
      </c>
      <c r="W70" s="19">
        <f>W73+W88+W76+W92</f>
        <v>56685.3</v>
      </c>
      <c r="X70" s="19">
        <f>X73+X88+X76+X92</f>
        <v>56600.923360000001</v>
      </c>
      <c r="Y70" s="19">
        <f>Y73+Y88+Y76+Y92+Y122+Y119</f>
        <v>196067.09779999999</v>
      </c>
      <c r="Z70" s="19">
        <f>Z73+Z88+Z76+Z92</f>
        <v>28989</v>
      </c>
      <c r="AA70" s="19">
        <f>AA73+AA88+AA76+AA92</f>
        <v>37510.14</v>
      </c>
      <c r="AB70" s="19">
        <f>AB73+AB88+AB76+AB92</f>
        <v>37510.149740000001</v>
      </c>
      <c r="AC70" s="19">
        <f>AC73+AC88+AC76+AC92+AC122+AC119</f>
        <v>45979.069750000002</v>
      </c>
      <c r="AD70" s="19">
        <f>AD73+AD88+AD76+AD92</f>
        <v>29590.899999999998</v>
      </c>
      <c r="AE70" s="19">
        <f>AE73+AE88+AE76+AE92</f>
        <v>39042.899999999994</v>
      </c>
      <c r="AF70" s="19">
        <f>AF73+AF88+AF76+AF92</f>
        <v>39042.954549999995</v>
      </c>
      <c r="AG70" s="19">
        <f>AG73+AG88+AG76+AG92+AG122+AG119+AG123</f>
        <v>98672.852529999989</v>
      </c>
      <c r="AH70" s="19">
        <f t="shared" ref="AH70:BB70" si="86">AH73+AH88+AH76+AH92</f>
        <v>32823.700000000004</v>
      </c>
      <c r="AI70" s="19">
        <f t="shared" si="86"/>
        <v>32024</v>
      </c>
      <c r="AJ70" s="19">
        <f t="shared" si="86"/>
        <v>32001.1</v>
      </c>
      <c r="AK70" s="19">
        <f t="shared" si="86"/>
        <v>77915.299999999988</v>
      </c>
      <c r="AL70" s="19">
        <f t="shared" si="86"/>
        <v>77915.312600000005</v>
      </c>
      <c r="AM70" s="19">
        <f t="shared" si="86"/>
        <v>77915.312600000005</v>
      </c>
      <c r="AN70" s="19">
        <f t="shared" si="86"/>
        <v>29090.100000000002</v>
      </c>
      <c r="AO70" s="19">
        <f t="shared" si="86"/>
        <v>29090.100000000002</v>
      </c>
      <c r="AP70" s="19">
        <f t="shared" si="86"/>
        <v>29090.100000000002</v>
      </c>
      <c r="AQ70" s="19">
        <f t="shared" si="86"/>
        <v>43788.7</v>
      </c>
      <c r="AR70" s="19">
        <f t="shared" si="86"/>
        <v>47916.5</v>
      </c>
      <c r="AS70" s="19">
        <f t="shared" si="86"/>
        <v>41879.199999999997</v>
      </c>
      <c r="AT70" s="19">
        <f t="shared" si="86"/>
        <v>44503.9</v>
      </c>
      <c r="AU70" s="19">
        <f t="shared" si="86"/>
        <v>50730.9</v>
      </c>
      <c r="AV70" s="19">
        <f t="shared" si="86"/>
        <v>50541.789810000002</v>
      </c>
      <c r="AW70" s="19">
        <f>AW73+AW88+AW76+AW92</f>
        <v>50541.789810000002</v>
      </c>
      <c r="AX70" s="19">
        <f t="shared" si="86"/>
        <v>41406.800000000003</v>
      </c>
      <c r="AY70" s="19">
        <f>AY73+AY88+AY76+AY92</f>
        <v>25606.200000000004</v>
      </c>
      <c r="AZ70" s="19">
        <f>AZ73+AZ88+AZ76+AZ92</f>
        <v>25562.5</v>
      </c>
      <c r="BA70" s="19">
        <f t="shared" si="86"/>
        <v>45206.100000000006</v>
      </c>
      <c r="BB70" s="19">
        <f t="shared" si="86"/>
        <v>50765.900000000009</v>
      </c>
      <c r="BC70" s="19">
        <f>BC73+BC88+BC76+BC92</f>
        <v>38049.800000000003</v>
      </c>
      <c r="BD70" s="19">
        <f>BD73+BD88+BD76+BD92</f>
        <v>62120.4</v>
      </c>
      <c r="BE70" s="19">
        <f t="shared" ref="BE70" si="87">BE73+BE88+BE76+BE92</f>
        <v>62115.89837000001</v>
      </c>
      <c r="BF70" s="19">
        <f>BF73+BF88+BF76+BF92</f>
        <v>62115.89837000001</v>
      </c>
      <c r="BG70" s="19">
        <f t="shared" ref="BG70" si="88">BG73+BG88+BG76+BG92</f>
        <v>38065.300000000003</v>
      </c>
      <c r="BH70" s="19">
        <f>BH73+BH88+BH76+BH92</f>
        <v>30087.200000000001</v>
      </c>
      <c r="BI70" s="19">
        <f>BI73+BI88+BI76+BI92</f>
        <v>29835.5</v>
      </c>
      <c r="BJ70" s="19">
        <f t="shared" ref="BJ70:BN70" si="89">BJ73+BJ88+BJ76+BJ92</f>
        <v>39849.300000000003</v>
      </c>
      <c r="BK70" s="19">
        <f t="shared" si="89"/>
        <v>59502.2</v>
      </c>
      <c r="BL70" s="19">
        <f t="shared" si="89"/>
        <v>71905.8</v>
      </c>
      <c r="BM70" s="19">
        <f t="shared" si="89"/>
        <v>68788.100000000006</v>
      </c>
      <c r="BN70" s="19">
        <f t="shared" si="89"/>
        <v>71905.772979999994</v>
      </c>
      <c r="BO70" s="19">
        <f>BO73+BO88+BO76+BO92</f>
        <v>71905.772979999994</v>
      </c>
      <c r="BP70" s="19">
        <f t="shared" ref="BP70" si="90">BP73+BP88+BP76+BP92</f>
        <v>40054.199999999997</v>
      </c>
      <c r="BQ70" s="19">
        <f>BQ73+BQ88+BQ76+BQ92</f>
        <v>29155.5</v>
      </c>
      <c r="BR70" s="19">
        <f>BR73+BR88+BR76+BR92</f>
        <v>28671.9</v>
      </c>
      <c r="BS70" s="19">
        <f>BS73+BS88+BS76+BS92</f>
        <v>40965.399999999994</v>
      </c>
      <c r="BT70" s="19">
        <f>BT73+BT88+BT76+BT92</f>
        <v>70254</v>
      </c>
      <c r="BU70" s="19">
        <f>BU73+BU88+BU76+BU92</f>
        <v>70788.2</v>
      </c>
      <c r="BV70" s="23">
        <f t="shared" si="7"/>
        <v>115.7606584898532</v>
      </c>
      <c r="BW70" s="19">
        <f>BW73+BW88+BW76+BW92</f>
        <v>39431.899999999994</v>
      </c>
      <c r="BX70" s="23">
        <f t="shared" si="8"/>
        <v>55.70405802096959</v>
      </c>
      <c r="BY70" s="19">
        <f>BY73+BY88+BY76+BY92</f>
        <v>70788.2</v>
      </c>
      <c r="BZ70" s="23">
        <f t="shared" ref="BZ70:BZ101" si="91">BY70/BN70*100</f>
        <v>98.445781286141184</v>
      </c>
      <c r="CA70" s="19">
        <f t="shared" ref="CA70" si="92">CA73+CA88+CA76+CA92</f>
        <v>36628.700000000004</v>
      </c>
      <c r="CB70" s="23">
        <f t="shared" si="10"/>
        <v>51.74407599006615</v>
      </c>
      <c r="CC70" s="23">
        <f t="shared" ref="CC70:CC101" si="93">CA70/BQ70*100</f>
        <v>125.63221347601655</v>
      </c>
      <c r="CD70" s="19">
        <f>CD73+CD88+CD76+CD92</f>
        <v>34621.9</v>
      </c>
      <c r="CE70" s="23">
        <f t="shared" si="11"/>
        <v>94.521236079904554</v>
      </c>
      <c r="CF70" s="23">
        <f t="shared" ref="CF70:CF101" si="94">CD70/BR70*100</f>
        <v>120.75202550232109</v>
      </c>
      <c r="CG70" s="19">
        <f>CG73+CG88+CG76+CG92</f>
        <v>34299.199999999997</v>
      </c>
      <c r="CH70" s="23">
        <f t="shared" si="80"/>
        <v>99.067930991655558</v>
      </c>
    </row>
    <row r="71" spans="1:86" ht="3" hidden="1" customHeigh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22"/>
      <c r="BL71" s="19"/>
      <c r="BM71" s="19"/>
      <c r="BN71" s="19"/>
      <c r="BO71" s="19"/>
      <c r="BP71" s="19"/>
      <c r="BQ71" s="19"/>
      <c r="BR71" s="19"/>
      <c r="BS71" s="22"/>
      <c r="BT71" s="19"/>
      <c r="BU71" s="19"/>
      <c r="BV71" s="23" t="e">
        <f t="shared" ref="BV71:BV126" si="95">BN71/BE71*100</f>
        <v>#DIV/0!</v>
      </c>
      <c r="BW71" s="19"/>
      <c r="BX71" s="23" t="e">
        <f t="shared" ref="BX71:BX128" si="96">BW71/BY71*100</f>
        <v>#DIV/0!</v>
      </c>
      <c r="BY71" s="19"/>
      <c r="BZ71" s="23" t="e">
        <f t="shared" si="91"/>
        <v>#DIV/0!</v>
      </c>
      <c r="CA71" s="19"/>
      <c r="CB71" s="23" t="e">
        <f t="shared" ref="CB71:CB102" si="97">CA71/BY71*100</f>
        <v>#DIV/0!</v>
      </c>
      <c r="CC71" s="23" t="e">
        <f t="shared" si="93"/>
        <v>#DIV/0!</v>
      </c>
      <c r="CD71" s="19"/>
      <c r="CE71" s="23" t="e">
        <f t="shared" ref="CE71:CE128" si="98">CD71/CA71*100</f>
        <v>#DIV/0!</v>
      </c>
      <c r="CF71" s="23" t="e">
        <f t="shared" si="94"/>
        <v>#DIV/0!</v>
      </c>
      <c r="CG71" s="19"/>
      <c r="CH71" s="23" t="e">
        <f t="shared" si="80"/>
        <v>#DIV/0!</v>
      </c>
    </row>
    <row r="72" spans="1:86" ht="40.5" hidden="1" customHeight="1" x14ac:dyDescent="0.25">
      <c r="A72" s="17"/>
      <c r="B72" s="18" t="s">
        <v>200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>
        <f>AX70-AX73</f>
        <v>22262.400000000001</v>
      </c>
      <c r="AY72" s="19"/>
      <c r="AZ72" s="19"/>
      <c r="BA72" s="19">
        <f t="shared" ref="BA72:BD72" si="99">BA70-BA73</f>
        <v>26061.700000000004</v>
      </c>
      <c r="BB72" s="19">
        <f t="shared" si="99"/>
        <v>31621.500000000007</v>
      </c>
      <c r="BC72" s="19">
        <f t="shared" si="99"/>
        <v>18905.400000000001</v>
      </c>
      <c r="BD72" s="19">
        <f t="shared" si="99"/>
        <v>42976</v>
      </c>
      <c r="BE72" s="19"/>
      <c r="BF72" s="19"/>
      <c r="BG72" s="19">
        <f>BG70-BG73</f>
        <v>17774.100000000002</v>
      </c>
      <c r="BH72" s="19"/>
      <c r="BI72" s="19"/>
      <c r="BJ72" s="20">
        <f>BJ70-BJ73</f>
        <v>19558.000000000004</v>
      </c>
      <c r="BK72" s="21">
        <f>BK70-BK73</f>
        <v>39210.899999999994</v>
      </c>
      <c r="BL72" s="19">
        <f>BL70-BL73</f>
        <v>51622.700000000004</v>
      </c>
      <c r="BM72" s="19"/>
      <c r="BN72" s="19"/>
      <c r="BO72" s="19"/>
      <c r="BP72" s="19">
        <f>BP70-BP73</f>
        <v>23602.299999999996</v>
      </c>
      <c r="BQ72" s="19"/>
      <c r="BR72" s="19"/>
      <c r="BS72" s="21" t="e">
        <f>#REF!-#REF!</f>
        <v>#REF!</v>
      </c>
      <c r="BT72" s="19" t="e">
        <f>#REF!-#REF!</f>
        <v>#REF!</v>
      </c>
      <c r="BU72" s="19" t="e">
        <f>#REF!-#REF!</f>
        <v>#REF!</v>
      </c>
      <c r="BV72" s="23" t="e">
        <f t="shared" si="95"/>
        <v>#DIV/0!</v>
      </c>
      <c r="BW72" s="19">
        <f>CA70-CA73</f>
        <v>16111.300000000003</v>
      </c>
      <c r="BX72" s="23">
        <f t="shared" si="96"/>
        <v>-22063.637335884745</v>
      </c>
      <c r="BY72" s="19">
        <f>CB70-CB73</f>
        <v>-73.021958051296735</v>
      </c>
      <c r="BZ72" s="23" t="e">
        <f t="shared" si="91"/>
        <v>#DIV/0!</v>
      </c>
      <c r="CA72" s="19">
        <f>CA70-CA73</f>
        <v>16111.300000000003</v>
      </c>
      <c r="CB72" s="23">
        <f t="shared" si="97"/>
        <v>-22063.637335884745</v>
      </c>
      <c r="CC72" s="23" t="e">
        <f t="shared" si="93"/>
        <v>#DIV/0!</v>
      </c>
      <c r="CD72" s="19"/>
      <c r="CE72" s="23">
        <f t="shared" si="98"/>
        <v>0</v>
      </c>
      <c r="CF72" s="23" t="e">
        <f t="shared" si="94"/>
        <v>#DIV/0!</v>
      </c>
      <c r="CG72" s="19"/>
      <c r="CH72" s="23" t="e">
        <f t="shared" si="80"/>
        <v>#DIV/0!</v>
      </c>
    </row>
    <row r="73" spans="1:86" ht="24" customHeight="1" x14ac:dyDescent="0.25">
      <c r="A73" s="17" t="s">
        <v>201</v>
      </c>
      <c r="B73" s="18" t="s">
        <v>202</v>
      </c>
      <c r="C73" s="19">
        <f t="shared" ref="C73:AP73" si="100">C74+C75</f>
        <v>21206.855</v>
      </c>
      <c r="D73" s="19">
        <f t="shared" si="100"/>
        <v>25108.7</v>
      </c>
      <c r="E73" s="19">
        <f t="shared" si="100"/>
        <v>33287.9</v>
      </c>
      <c r="F73" s="19">
        <f t="shared" si="100"/>
        <v>33287.9</v>
      </c>
      <c r="G73" s="19">
        <f t="shared" si="100"/>
        <v>23604.5</v>
      </c>
      <c r="H73" s="19">
        <f t="shared" si="100"/>
        <v>26760.300000000003</v>
      </c>
      <c r="I73" s="19">
        <f t="shared" si="100"/>
        <v>26760.332999999999</v>
      </c>
      <c r="J73" s="19">
        <f t="shared" si="100"/>
        <v>25129.9</v>
      </c>
      <c r="K73" s="19">
        <f t="shared" si="100"/>
        <v>30112.5</v>
      </c>
      <c r="L73" s="19">
        <f t="shared" si="100"/>
        <v>30112.464</v>
      </c>
      <c r="M73" s="19">
        <f t="shared" si="100"/>
        <v>30112.464</v>
      </c>
      <c r="N73" s="19">
        <f t="shared" si="100"/>
        <v>25388.9</v>
      </c>
      <c r="O73" s="19">
        <f t="shared" si="100"/>
        <v>24860.9</v>
      </c>
      <c r="P73" s="19">
        <f t="shared" si="100"/>
        <v>24860.94526</v>
      </c>
      <c r="Q73" s="19">
        <f t="shared" si="100"/>
        <v>24860.94526</v>
      </c>
      <c r="R73" s="19">
        <f t="shared" si="100"/>
        <v>24796.5</v>
      </c>
      <c r="S73" s="19">
        <f t="shared" si="100"/>
        <v>25519</v>
      </c>
      <c r="T73" s="19">
        <f t="shared" si="100"/>
        <v>25518.97</v>
      </c>
      <c r="U73" s="19">
        <f t="shared" si="100"/>
        <v>25518.97</v>
      </c>
      <c r="V73" s="19">
        <f t="shared" si="100"/>
        <v>25783.599999999999</v>
      </c>
      <c r="W73" s="19">
        <f t="shared" si="100"/>
        <v>31474.9</v>
      </c>
      <c r="X73" s="19">
        <f t="shared" si="100"/>
        <v>31474.9</v>
      </c>
      <c r="Y73" s="19">
        <f t="shared" si="100"/>
        <v>31474.9</v>
      </c>
      <c r="Z73" s="19">
        <f t="shared" si="100"/>
        <v>27116.9</v>
      </c>
      <c r="AA73" s="19">
        <f t="shared" si="100"/>
        <v>31645.3</v>
      </c>
      <c r="AB73" s="19">
        <f t="shared" si="100"/>
        <v>31645.343000000001</v>
      </c>
      <c r="AC73" s="19">
        <f t="shared" si="100"/>
        <v>31645.343000000001</v>
      </c>
      <c r="AD73" s="19">
        <f t="shared" si="100"/>
        <v>25631.699999999997</v>
      </c>
      <c r="AE73" s="19">
        <f t="shared" si="100"/>
        <v>26197.8</v>
      </c>
      <c r="AF73" s="19">
        <f t="shared" si="100"/>
        <v>26197.760999999999</v>
      </c>
      <c r="AG73" s="19">
        <f t="shared" si="100"/>
        <v>26197.760999999999</v>
      </c>
      <c r="AH73" s="19">
        <f t="shared" si="100"/>
        <v>25647.300000000003</v>
      </c>
      <c r="AI73" s="19">
        <f t="shared" si="100"/>
        <v>25499.599999999999</v>
      </c>
      <c r="AJ73" s="19">
        <f t="shared" si="100"/>
        <v>25463.600000000002</v>
      </c>
      <c r="AK73" s="19">
        <f t="shared" si="100"/>
        <v>25291.3</v>
      </c>
      <c r="AL73" s="19">
        <f t="shared" si="100"/>
        <v>25291.342000000001</v>
      </c>
      <c r="AM73" s="19">
        <f t="shared" si="100"/>
        <v>25291.342000000001</v>
      </c>
      <c r="AN73" s="19">
        <f t="shared" si="100"/>
        <v>26672.7</v>
      </c>
      <c r="AO73" s="19">
        <f t="shared" si="100"/>
        <v>26672.7</v>
      </c>
      <c r="AP73" s="19">
        <f t="shared" si="100"/>
        <v>26672.7</v>
      </c>
      <c r="AQ73" s="19">
        <v>27963.5</v>
      </c>
      <c r="AR73" s="19">
        <v>29963.4</v>
      </c>
      <c r="AS73" s="19">
        <v>18665.400000000001</v>
      </c>
      <c r="AT73" s="19">
        <f>AT74+AT75</f>
        <v>18665.400000000001</v>
      </c>
      <c r="AU73" s="19">
        <f>AU74+AU75</f>
        <v>18665.400000000001</v>
      </c>
      <c r="AV73" s="19">
        <f>AV74+AV75</f>
        <v>18665.400000000001</v>
      </c>
      <c r="AW73" s="19">
        <f>AW74+AW75</f>
        <v>18665.400000000001</v>
      </c>
      <c r="AX73" s="19">
        <f t="shared" ref="AX73" si="101">AX74+AX75</f>
        <v>19144.400000000001</v>
      </c>
      <c r="AY73" s="19">
        <f>AY74+AY75</f>
        <v>18640.7</v>
      </c>
      <c r="AZ73" s="19">
        <f>AZ74+AZ75</f>
        <v>19693.5</v>
      </c>
      <c r="BA73" s="19">
        <v>19144.400000000001</v>
      </c>
      <c r="BB73" s="19">
        <v>19144.400000000001</v>
      </c>
      <c r="BC73" s="19">
        <v>19144.400000000001</v>
      </c>
      <c r="BD73" s="19">
        <v>19144.400000000001</v>
      </c>
      <c r="BE73" s="19">
        <v>19144.400000000001</v>
      </c>
      <c r="BF73" s="19">
        <f>BF74+BF75</f>
        <v>19144.400000000001</v>
      </c>
      <c r="BG73" s="19">
        <f t="shared" ref="BG73" si="102">BG74+BG75</f>
        <v>20291.2</v>
      </c>
      <c r="BH73" s="19">
        <f>BH74+BH75</f>
        <v>20162.5</v>
      </c>
      <c r="BI73" s="19">
        <f>BI74+BI75</f>
        <v>20495.5</v>
      </c>
      <c r="BJ73" s="19">
        <f t="shared" ref="BJ73:BM73" si="103">BJ74+BJ75</f>
        <v>20291.3</v>
      </c>
      <c r="BK73" s="19">
        <f t="shared" si="103"/>
        <v>20291.3</v>
      </c>
      <c r="BL73" s="19">
        <f t="shared" si="103"/>
        <v>20283.099999999999</v>
      </c>
      <c r="BM73" s="19">
        <f t="shared" si="103"/>
        <v>20291.2</v>
      </c>
      <c r="BN73" s="19">
        <f>BN74</f>
        <v>20283.099999999999</v>
      </c>
      <c r="BO73" s="19">
        <f>BO74+BO75</f>
        <v>20283.099999999999</v>
      </c>
      <c r="BP73" s="19">
        <f t="shared" ref="BP73" si="104">BP74+BP75</f>
        <v>16451.900000000001</v>
      </c>
      <c r="BQ73" s="19">
        <f>BQ74+BQ75</f>
        <v>17546.8</v>
      </c>
      <c r="BR73" s="19">
        <f>BR74+BR75</f>
        <v>19261.5</v>
      </c>
      <c r="BS73" s="19">
        <f>BS74+BS75</f>
        <v>16451.900000000001</v>
      </c>
      <c r="BT73" s="19">
        <f>BT74+BT75</f>
        <v>16451.900000000001</v>
      </c>
      <c r="BU73" s="19">
        <f>BU74+BU75</f>
        <v>16444.7</v>
      </c>
      <c r="BV73" s="23">
        <f t="shared" si="95"/>
        <v>105.94795344852801</v>
      </c>
      <c r="BW73" s="19">
        <f>BW74+BW75</f>
        <v>13161.5</v>
      </c>
      <c r="BX73" s="23">
        <f t="shared" si="96"/>
        <v>80.034904862964964</v>
      </c>
      <c r="BY73" s="19">
        <f>BY74+BY75</f>
        <v>16444.7</v>
      </c>
      <c r="BZ73" s="23">
        <f t="shared" si="91"/>
        <v>81.075871045353026</v>
      </c>
      <c r="CA73" s="19">
        <f t="shared" ref="CA73" si="105">CA74+CA75</f>
        <v>20517.400000000001</v>
      </c>
      <c r="CB73" s="23">
        <f t="shared" si="97"/>
        <v>124.76603404136289</v>
      </c>
      <c r="CC73" s="23">
        <f t="shared" si="93"/>
        <v>116.92958260195591</v>
      </c>
      <c r="CD73" s="19">
        <f>CD74+CD75</f>
        <v>21305</v>
      </c>
      <c r="CE73" s="23">
        <f t="shared" si="98"/>
        <v>103.83869301178513</v>
      </c>
      <c r="CF73" s="23">
        <f t="shared" si="94"/>
        <v>110.60924642421411</v>
      </c>
      <c r="CG73" s="19">
        <f>CG74+CG75</f>
        <v>21394.9</v>
      </c>
      <c r="CH73" s="23">
        <f t="shared" si="80"/>
        <v>100.42196667448957</v>
      </c>
    </row>
    <row r="74" spans="1:86" ht="22.5" hidden="1" customHeight="1" x14ac:dyDescent="0.25">
      <c r="A74" s="9" t="s">
        <v>203</v>
      </c>
      <c r="B74" s="37" t="s">
        <v>204</v>
      </c>
      <c r="C74" s="23">
        <v>6110</v>
      </c>
      <c r="D74" s="23">
        <v>10578.6</v>
      </c>
      <c r="E74" s="23">
        <v>10703.5</v>
      </c>
      <c r="F74" s="23">
        <v>10703.5</v>
      </c>
      <c r="G74" s="23">
        <v>12391.2</v>
      </c>
      <c r="H74" s="23">
        <v>12391.2</v>
      </c>
      <c r="I74" s="23">
        <v>12391.2</v>
      </c>
      <c r="J74" s="23">
        <v>14496.7</v>
      </c>
      <c r="K74" s="23">
        <v>14496.7</v>
      </c>
      <c r="L74" s="23">
        <v>14496.7</v>
      </c>
      <c r="M74" s="23">
        <v>14496.7</v>
      </c>
      <c r="N74" s="23">
        <v>15368.7</v>
      </c>
      <c r="O74" s="23">
        <v>15368.7</v>
      </c>
      <c r="P74" s="23">
        <v>15368.7</v>
      </c>
      <c r="Q74" s="23">
        <v>15368.7</v>
      </c>
      <c r="R74" s="23">
        <v>15819.1</v>
      </c>
      <c r="S74" s="23">
        <v>16626.099999999999</v>
      </c>
      <c r="T74" s="23">
        <v>16626.099999999999</v>
      </c>
      <c r="U74" s="23">
        <v>16626.099999999999</v>
      </c>
      <c r="V74" s="23">
        <v>16306.4</v>
      </c>
      <c r="W74" s="23">
        <v>16306.4</v>
      </c>
      <c r="X74" s="23">
        <v>16306.4</v>
      </c>
      <c r="Y74" s="23">
        <v>31474.9</v>
      </c>
      <c r="Z74" s="23">
        <v>14866</v>
      </c>
      <c r="AA74" s="23">
        <v>14866</v>
      </c>
      <c r="AB74" s="23">
        <v>14866</v>
      </c>
      <c r="AC74" s="23">
        <v>14866</v>
      </c>
      <c r="AD74" s="23">
        <v>14625.8</v>
      </c>
      <c r="AE74" s="23">
        <v>14625.8</v>
      </c>
      <c r="AF74" s="23">
        <v>14625.8</v>
      </c>
      <c r="AG74" s="23">
        <v>14625.8</v>
      </c>
      <c r="AH74" s="23">
        <v>16895.900000000001</v>
      </c>
      <c r="AI74" s="23">
        <v>16793</v>
      </c>
      <c r="AJ74" s="23">
        <v>16811.400000000001</v>
      </c>
      <c r="AK74" s="23">
        <v>16996.5</v>
      </c>
      <c r="AL74" s="23">
        <v>16996.5</v>
      </c>
      <c r="AM74" s="23">
        <v>16996.5</v>
      </c>
      <c r="AN74" s="23">
        <v>18665.400000000001</v>
      </c>
      <c r="AO74" s="23">
        <v>18665.400000000001</v>
      </c>
      <c r="AP74" s="23">
        <v>18665.400000000001</v>
      </c>
      <c r="AQ74" s="23"/>
      <c r="AR74" s="23"/>
      <c r="AS74" s="23"/>
      <c r="AT74" s="23">
        <v>18665.400000000001</v>
      </c>
      <c r="AU74" s="23">
        <v>18665.400000000001</v>
      </c>
      <c r="AV74" s="23">
        <v>18665.400000000001</v>
      </c>
      <c r="AW74" s="23">
        <v>18665.400000000001</v>
      </c>
      <c r="AX74" s="23">
        <v>19144.400000000001</v>
      </c>
      <c r="AY74" s="23">
        <v>18640.7</v>
      </c>
      <c r="AZ74" s="23">
        <v>19693.5</v>
      </c>
      <c r="BA74" s="23">
        <v>19145.400000000001</v>
      </c>
      <c r="BB74" s="23">
        <v>19146.400000000001</v>
      </c>
      <c r="BC74" s="23">
        <v>19144.400000000001</v>
      </c>
      <c r="BD74" s="23">
        <v>19144.400000000001</v>
      </c>
      <c r="BE74" s="23">
        <v>19144.400000000001</v>
      </c>
      <c r="BF74" s="23">
        <v>19144.400000000001</v>
      </c>
      <c r="BG74" s="23">
        <v>20291.2</v>
      </c>
      <c r="BH74" s="23">
        <v>20162.5</v>
      </c>
      <c r="BI74" s="23">
        <v>20495.5</v>
      </c>
      <c r="BJ74" s="19">
        <v>20291.3</v>
      </c>
      <c r="BK74" s="22">
        <v>20291.3</v>
      </c>
      <c r="BL74" s="23">
        <v>20283.099999999999</v>
      </c>
      <c r="BM74" s="23">
        <v>20291.2</v>
      </c>
      <c r="BN74" s="23">
        <v>20283.099999999999</v>
      </c>
      <c r="BO74" s="23">
        <v>20283.099999999999</v>
      </c>
      <c r="BP74" s="23">
        <v>16451.900000000001</v>
      </c>
      <c r="BQ74" s="23">
        <v>17546.8</v>
      </c>
      <c r="BR74" s="23">
        <v>19261.5</v>
      </c>
      <c r="BS74" s="22">
        <v>16451.900000000001</v>
      </c>
      <c r="BT74" s="23">
        <v>16451.900000000001</v>
      </c>
      <c r="BU74" s="23">
        <v>16444.7</v>
      </c>
      <c r="BV74" s="23">
        <f t="shared" si="95"/>
        <v>105.94795344852801</v>
      </c>
      <c r="BW74" s="23">
        <v>13161.5</v>
      </c>
      <c r="BX74" s="23">
        <f t="shared" si="96"/>
        <v>80.034904862964964</v>
      </c>
      <c r="BY74" s="23">
        <v>16444.7</v>
      </c>
      <c r="BZ74" s="23">
        <f t="shared" si="91"/>
        <v>81.075871045353026</v>
      </c>
      <c r="CA74" s="23">
        <v>20517.400000000001</v>
      </c>
      <c r="CB74" s="23">
        <f t="shared" si="97"/>
        <v>124.76603404136289</v>
      </c>
      <c r="CC74" s="23">
        <f t="shared" si="93"/>
        <v>116.92958260195591</v>
      </c>
      <c r="CD74" s="23">
        <v>21305</v>
      </c>
      <c r="CE74" s="23">
        <f t="shared" si="98"/>
        <v>103.83869301178513</v>
      </c>
      <c r="CF74" s="23">
        <f t="shared" si="94"/>
        <v>110.60924642421411</v>
      </c>
      <c r="CG74" s="23">
        <v>21394.9</v>
      </c>
      <c r="CH74" s="23">
        <f t="shared" si="80"/>
        <v>100.42196667448957</v>
      </c>
    </row>
    <row r="75" spans="1:86" ht="22.5" hidden="1" customHeight="1" x14ac:dyDescent="0.25">
      <c r="A75" s="9" t="s">
        <v>205</v>
      </c>
      <c r="B75" s="37" t="s">
        <v>206</v>
      </c>
      <c r="C75" s="23">
        <v>15096.855</v>
      </c>
      <c r="D75" s="23">
        <v>14530.1</v>
      </c>
      <c r="E75" s="23">
        <v>22584.400000000001</v>
      </c>
      <c r="F75" s="23">
        <v>22584.400000000001</v>
      </c>
      <c r="G75" s="23">
        <v>11213.3</v>
      </c>
      <c r="H75" s="23">
        <v>14369.1</v>
      </c>
      <c r="I75" s="23">
        <v>14369.133</v>
      </c>
      <c r="J75" s="23">
        <v>10633.2</v>
      </c>
      <c r="K75" s="23">
        <v>15615.8</v>
      </c>
      <c r="L75" s="23">
        <v>15615.763999999999</v>
      </c>
      <c r="M75" s="23">
        <v>15615.763999999999</v>
      </c>
      <c r="N75" s="23">
        <v>10020.200000000001</v>
      </c>
      <c r="O75" s="23">
        <v>9492.2000000000007</v>
      </c>
      <c r="P75" s="23">
        <f>10878.37334-1386.12808</f>
        <v>9492.2452599999997</v>
      </c>
      <c r="Q75" s="23">
        <f>10878.37334-1386.12808</f>
        <v>9492.2452599999997</v>
      </c>
      <c r="R75" s="23">
        <v>8977.4</v>
      </c>
      <c r="S75" s="23">
        <v>8892.9</v>
      </c>
      <c r="T75" s="23">
        <v>8892.8700000000008</v>
      </c>
      <c r="U75" s="23">
        <v>8892.8700000000008</v>
      </c>
      <c r="V75" s="23">
        <v>9477.2000000000007</v>
      </c>
      <c r="W75" s="23">
        <v>15168.5</v>
      </c>
      <c r="X75" s="23">
        <v>15168.5</v>
      </c>
      <c r="Y75" s="23">
        <v>0</v>
      </c>
      <c r="Z75" s="23">
        <v>12250.9</v>
      </c>
      <c r="AA75" s="23">
        <v>16779.3</v>
      </c>
      <c r="AB75" s="23">
        <v>16779.343000000001</v>
      </c>
      <c r="AC75" s="23">
        <v>16779.343000000001</v>
      </c>
      <c r="AD75" s="23">
        <v>11005.9</v>
      </c>
      <c r="AE75" s="23">
        <v>11572</v>
      </c>
      <c r="AF75" s="23">
        <v>11571.960999999999</v>
      </c>
      <c r="AG75" s="23">
        <v>11571.960999999999</v>
      </c>
      <c r="AH75" s="23">
        <v>8751.4</v>
      </c>
      <c r="AI75" s="23">
        <v>8706.6</v>
      </c>
      <c r="AJ75" s="23">
        <v>8652.2000000000007</v>
      </c>
      <c r="AK75" s="23">
        <v>8294.7999999999993</v>
      </c>
      <c r="AL75" s="23">
        <v>8294.8420000000006</v>
      </c>
      <c r="AM75" s="23">
        <v>8294.8420000000006</v>
      </c>
      <c r="AN75" s="23">
        <v>8007.3</v>
      </c>
      <c r="AO75" s="23">
        <v>8007.3</v>
      </c>
      <c r="AP75" s="23">
        <v>8007.3</v>
      </c>
      <c r="AQ75" s="23"/>
      <c r="AR75" s="23"/>
      <c r="AS75" s="23"/>
      <c r="AT75" s="23"/>
      <c r="AU75" s="23"/>
      <c r="AV75" s="23">
        <v>0</v>
      </c>
      <c r="AW75" s="23">
        <v>0</v>
      </c>
      <c r="AX75" s="23"/>
      <c r="AY75" s="23"/>
      <c r="AZ75" s="23"/>
      <c r="BA75" s="23"/>
      <c r="BB75" s="23"/>
      <c r="BC75" s="23"/>
      <c r="BD75" s="23"/>
      <c r="BE75" s="23"/>
      <c r="BF75" s="23">
        <v>0</v>
      </c>
      <c r="BG75" s="23"/>
      <c r="BH75" s="23"/>
      <c r="BI75" s="23"/>
      <c r="BJ75" s="19"/>
      <c r="BK75" s="22"/>
      <c r="BL75" s="23"/>
      <c r="BM75" s="23"/>
      <c r="BN75" s="23"/>
      <c r="BO75" s="23"/>
      <c r="BP75" s="23"/>
      <c r="BQ75" s="23"/>
      <c r="BR75" s="23"/>
      <c r="BS75" s="22"/>
      <c r="BT75" s="23"/>
      <c r="BU75" s="23"/>
      <c r="BV75" s="23" t="e">
        <f t="shared" si="95"/>
        <v>#DIV/0!</v>
      </c>
      <c r="BW75" s="23"/>
      <c r="BX75" s="23" t="e">
        <f t="shared" si="96"/>
        <v>#DIV/0!</v>
      </c>
      <c r="BY75" s="23"/>
      <c r="BZ75" s="23" t="e">
        <f t="shared" si="91"/>
        <v>#DIV/0!</v>
      </c>
      <c r="CA75" s="23"/>
      <c r="CB75" s="23" t="e">
        <f t="shared" si="97"/>
        <v>#DIV/0!</v>
      </c>
      <c r="CC75" s="23" t="e">
        <f t="shared" si="93"/>
        <v>#DIV/0!</v>
      </c>
      <c r="CD75" s="23"/>
      <c r="CE75" s="23" t="e">
        <f t="shared" si="98"/>
        <v>#DIV/0!</v>
      </c>
      <c r="CF75" s="23" t="e">
        <f t="shared" si="94"/>
        <v>#DIV/0!</v>
      </c>
      <c r="CG75" s="23"/>
      <c r="CH75" s="23" t="e">
        <f t="shared" si="80"/>
        <v>#DIV/0!</v>
      </c>
    </row>
    <row r="76" spans="1:86" ht="23.25" customHeight="1" x14ac:dyDescent="0.25">
      <c r="A76" s="17" t="s">
        <v>207</v>
      </c>
      <c r="B76" s="39" t="s">
        <v>208</v>
      </c>
      <c r="C76" s="19">
        <f t="shared" ref="C76:I76" si="106">C77+C78+C79+C80</f>
        <v>5965.47</v>
      </c>
      <c r="D76" s="19">
        <f t="shared" si="106"/>
        <v>0</v>
      </c>
      <c r="E76" s="19">
        <f t="shared" si="106"/>
        <v>15541.3</v>
      </c>
      <c r="F76" s="19">
        <f t="shared" si="106"/>
        <v>12306.21</v>
      </c>
      <c r="G76" s="19">
        <f t="shared" si="106"/>
        <v>3874.9</v>
      </c>
      <c r="H76" s="19">
        <f t="shared" si="106"/>
        <v>8505.6</v>
      </c>
      <c r="I76" s="19">
        <f t="shared" si="106"/>
        <v>8505.6200000000008</v>
      </c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>
        <f t="shared" ref="AK76:AP76" si="107">AK80</f>
        <v>12078.8</v>
      </c>
      <c r="AL76" s="19">
        <f t="shared" si="107"/>
        <v>12078.83</v>
      </c>
      <c r="AM76" s="19">
        <f t="shared" si="107"/>
        <v>12078.83</v>
      </c>
      <c r="AN76" s="19">
        <f t="shared" si="107"/>
        <v>60</v>
      </c>
      <c r="AO76" s="19">
        <f t="shared" si="107"/>
        <v>60</v>
      </c>
      <c r="AP76" s="19">
        <f t="shared" si="107"/>
        <v>60</v>
      </c>
      <c r="AQ76" s="19">
        <v>12614.9</v>
      </c>
      <c r="AR76" s="19">
        <v>12615</v>
      </c>
      <c r="AS76" s="19">
        <v>60</v>
      </c>
      <c r="AT76" s="19">
        <f t="shared" ref="AT76:BB76" si="108">AT80</f>
        <v>60</v>
      </c>
      <c r="AU76" s="19">
        <f t="shared" si="108"/>
        <v>60</v>
      </c>
      <c r="AV76" s="19">
        <f t="shared" si="108"/>
        <v>60</v>
      </c>
      <c r="AW76" s="19">
        <f>AW80</f>
        <v>60</v>
      </c>
      <c r="AX76" s="19">
        <f t="shared" si="108"/>
        <v>58.4</v>
      </c>
      <c r="AY76" s="19">
        <f t="shared" si="108"/>
        <v>58.5</v>
      </c>
      <c r="AZ76" s="19">
        <f t="shared" si="108"/>
        <v>58.4</v>
      </c>
      <c r="BA76" s="19">
        <f t="shared" si="108"/>
        <v>58.4</v>
      </c>
      <c r="BB76" s="19">
        <f t="shared" si="108"/>
        <v>58.4</v>
      </c>
      <c r="BC76" s="19">
        <v>58.4</v>
      </c>
      <c r="BD76" s="19">
        <v>58.4</v>
      </c>
      <c r="BE76" s="19">
        <v>58.4</v>
      </c>
      <c r="BF76" s="19">
        <f>BF80</f>
        <v>58.4</v>
      </c>
      <c r="BG76" s="19">
        <f>BG80</f>
        <v>31.1</v>
      </c>
      <c r="BH76" s="19">
        <f>BH80</f>
        <v>30.7</v>
      </c>
      <c r="BI76" s="19">
        <f>BI80</f>
        <v>30.6</v>
      </c>
      <c r="BJ76" s="19">
        <f t="shared" ref="BJ76:BS76" si="109">BJ80</f>
        <v>31.1</v>
      </c>
      <c r="BK76" s="19">
        <f t="shared" si="109"/>
        <v>10031.1</v>
      </c>
      <c r="BL76" s="19">
        <f t="shared" si="109"/>
        <v>10031.1</v>
      </c>
      <c r="BM76" s="19">
        <f t="shared" si="109"/>
        <v>10031.1</v>
      </c>
      <c r="BN76" s="19">
        <f t="shared" si="109"/>
        <v>10031.1</v>
      </c>
      <c r="BO76" s="19">
        <f t="shared" si="109"/>
        <v>10031.1</v>
      </c>
      <c r="BP76" s="19">
        <f t="shared" si="109"/>
        <v>37.1</v>
      </c>
      <c r="BQ76" s="19">
        <f t="shared" si="109"/>
        <v>37.299999999999997</v>
      </c>
      <c r="BR76" s="19">
        <f t="shared" si="109"/>
        <v>37.1</v>
      </c>
      <c r="BS76" s="19">
        <f t="shared" si="109"/>
        <v>37.1</v>
      </c>
      <c r="BT76" s="19">
        <f>BT77+BT80</f>
        <v>15109.1</v>
      </c>
      <c r="BU76" s="19">
        <f>BU77+BU80</f>
        <v>14124.3</v>
      </c>
      <c r="BV76" s="49">
        <f t="shared" si="95"/>
        <v>17176.54109589041</v>
      </c>
      <c r="BW76" s="19">
        <f>BW77+BW80</f>
        <v>7206.8</v>
      </c>
      <c r="BX76" s="23">
        <f t="shared" si="96"/>
        <v>51.024121549386528</v>
      </c>
      <c r="BY76" s="19">
        <f>BY77+BY80</f>
        <v>14124.3</v>
      </c>
      <c r="BZ76" s="23">
        <f t="shared" si="91"/>
        <v>140.80509615097048</v>
      </c>
      <c r="CA76" s="19">
        <f>CA80</f>
        <v>85.2</v>
      </c>
      <c r="CB76" s="23">
        <f t="shared" si="97"/>
        <v>0.60321573458507682</v>
      </c>
      <c r="CC76" s="23">
        <f t="shared" si="93"/>
        <v>228.41823056300271</v>
      </c>
      <c r="CD76" s="19">
        <f>CD80</f>
        <v>85.2</v>
      </c>
      <c r="CE76" s="23">
        <f t="shared" si="98"/>
        <v>100</v>
      </c>
      <c r="CF76" s="23">
        <f t="shared" si="94"/>
        <v>229.64959568733155</v>
      </c>
      <c r="CG76" s="19">
        <f>CG80</f>
        <v>85.2</v>
      </c>
      <c r="CH76" s="23">
        <f t="shared" si="80"/>
        <v>100</v>
      </c>
    </row>
    <row r="77" spans="1:86" ht="22.5" hidden="1" customHeight="1" x14ac:dyDescent="0.25">
      <c r="A77" s="9" t="s">
        <v>209</v>
      </c>
      <c r="B77" s="37" t="s">
        <v>210</v>
      </c>
      <c r="C77" s="23">
        <v>4493.0200000000004</v>
      </c>
      <c r="D77" s="23">
        <v>0</v>
      </c>
      <c r="E77" s="23">
        <v>5580.2</v>
      </c>
      <c r="F77" s="23">
        <v>5580.2</v>
      </c>
      <c r="G77" s="23">
        <v>3176.8</v>
      </c>
      <c r="H77" s="23">
        <v>499.6</v>
      </c>
      <c r="I77" s="23">
        <v>499.62</v>
      </c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19"/>
      <c r="BK77" s="22"/>
      <c r="BL77" s="23"/>
      <c r="BM77" s="23"/>
      <c r="BN77" s="23"/>
      <c r="BO77" s="23"/>
      <c r="BP77" s="23"/>
      <c r="BQ77" s="23"/>
      <c r="BR77" s="23"/>
      <c r="BS77" s="22"/>
      <c r="BT77" s="23">
        <v>8172</v>
      </c>
      <c r="BU77" s="23">
        <v>7187.2</v>
      </c>
      <c r="BV77" s="23" t="e">
        <f t="shared" si="95"/>
        <v>#DIV/0!</v>
      </c>
      <c r="BW77" s="23">
        <f>6827.8+359.4</f>
        <v>7187.2</v>
      </c>
      <c r="BX77" s="23">
        <f t="shared" si="96"/>
        <v>100</v>
      </c>
      <c r="BY77" s="23">
        <v>7187.2</v>
      </c>
      <c r="BZ77" s="23" t="e">
        <f t="shared" si="91"/>
        <v>#DIV/0!</v>
      </c>
      <c r="CA77" s="23"/>
      <c r="CB77" s="23">
        <f t="shared" si="97"/>
        <v>0</v>
      </c>
      <c r="CC77" s="23" t="e">
        <f t="shared" si="93"/>
        <v>#DIV/0!</v>
      </c>
      <c r="CD77" s="23"/>
      <c r="CE77" s="23" t="e">
        <f t="shared" si="98"/>
        <v>#DIV/0!</v>
      </c>
      <c r="CF77" s="23" t="e">
        <f t="shared" si="94"/>
        <v>#DIV/0!</v>
      </c>
      <c r="CG77" s="23"/>
      <c r="CH77" s="23" t="e">
        <f t="shared" si="80"/>
        <v>#DIV/0!</v>
      </c>
    </row>
    <row r="78" spans="1:86" ht="24" hidden="1" customHeight="1" x14ac:dyDescent="0.25">
      <c r="A78" s="9" t="s">
        <v>211</v>
      </c>
      <c r="B78" s="37" t="s">
        <v>212</v>
      </c>
      <c r="C78" s="23">
        <v>1390.45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19"/>
      <c r="BK78" s="22"/>
      <c r="BL78" s="23"/>
      <c r="BM78" s="23"/>
      <c r="BN78" s="23"/>
      <c r="BO78" s="23"/>
      <c r="BP78" s="23"/>
      <c r="BQ78" s="23"/>
      <c r="BR78" s="23"/>
      <c r="BS78" s="22"/>
      <c r="BT78" s="23"/>
      <c r="BU78" s="23"/>
      <c r="BV78" s="23" t="e">
        <f t="shared" si="95"/>
        <v>#DIV/0!</v>
      </c>
      <c r="BW78" s="23"/>
      <c r="BX78" s="23" t="e">
        <f t="shared" si="96"/>
        <v>#DIV/0!</v>
      </c>
      <c r="BY78" s="23"/>
      <c r="BZ78" s="23" t="e">
        <f t="shared" si="91"/>
        <v>#DIV/0!</v>
      </c>
      <c r="CA78" s="23"/>
      <c r="CB78" s="23" t="e">
        <f t="shared" si="97"/>
        <v>#DIV/0!</v>
      </c>
      <c r="CC78" s="23" t="e">
        <f t="shared" si="93"/>
        <v>#DIV/0!</v>
      </c>
      <c r="CD78" s="23"/>
      <c r="CE78" s="23" t="e">
        <f t="shared" si="98"/>
        <v>#DIV/0!</v>
      </c>
      <c r="CF78" s="23" t="e">
        <f t="shared" si="94"/>
        <v>#DIV/0!</v>
      </c>
      <c r="CG78" s="23"/>
      <c r="CH78" s="23" t="e">
        <f t="shared" si="80"/>
        <v>#DIV/0!</v>
      </c>
    </row>
    <row r="79" spans="1:86" ht="23.25" hidden="1" customHeight="1" x14ac:dyDescent="0.25">
      <c r="A79" s="9" t="s">
        <v>213</v>
      </c>
      <c r="B79" s="37" t="s">
        <v>214</v>
      </c>
      <c r="C79" s="23">
        <v>0</v>
      </c>
      <c r="D79" s="23">
        <v>0</v>
      </c>
      <c r="E79" s="23">
        <v>920.7</v>
      </c>
      <c r="F79" s="23">
        <v>891</v>
      </c>
      <c r="G79" s="23">
        <v>0</v>
      </c>
      <c r="H79" s="23">
        <v>0</v>
      </c>
      <c r="I79" s="23">
        <v>0</v>
      </c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19"/>
      <c r="BK79" s="22"/>
      <c r="BL79" s="23"/>
      <c r="BM79" s="23"/>
      <c r="BN79" s="23"/>
      <c r="BO79" s="23"/>
      <c r="BP79" s="23"/>
      <c r="BQ79" s="23"/>
      <c r="BR79" s="23"/>
      <c r="BS79" s="22"/>
      <c r="BT79" s="23"/>
      <c r="BU79" s="23"/>
      <c r="BV79" s="23" t="e">
        <f t="shared" si="95"/>
        <v>#DIV/0!</v>
      </c>
      <c r="BW79" s="23"/>
      <c r="BX79" s="23" t="e">
        <f t="shared" si="96"/>
        <v>#DIV/0!</v>
      </c>
      <c r="BY79" s="23"/>
      <c r="BZ79" s="23" t="e">
        <f t="shared" si="91"/>
        <v>#DIV/0!</v>
      </c>
      <c r="CA79" s="23"/>
      <c r="CB79" s="23" t="e">
        <f t="shared" si="97"/>
        <v>#DIV/0!</v>
      </c>
      <c r="CC79" s="23" t="e">
        <f t="shared" si="93"/>
        <v>#DIV/0!</v>
      </c>
      <c r="CD79" s="23"/>
      <c r="CE79" s="23" t="e">
        <f t="shared" si="98"/>
        <v>#DIV/0!</v>
      </c>
      <c r="CF79" s="23" t="e">
        <f t="shared" si="94"/>
        <v>#DIV/0!</v>
      </c>
      <c r="CG79" s="23"/>
      <c r="CH79" s="23" t="e">
        <f t="shared" si="80"/>
        <v>#DIV/0!</v>
      </c>
    </row>
    <row r="80" spans="1:86" ht="22.5" hidden="1" customHeight="1" x14ac:dyDescent="0.25">
      <c r="A80" s="9" t="s">
        <v>215</v>
      </c>
      <c r="B80" s="37" t="s">
        <v>216</v>
      </c>
      <c r="C80" s="23">
        <v>82</v>
      </c>
      <c r="D80" s="23">
        <v>0</v>
      </c>
      <c r="E80" s="23">
        <v>9040.4</v>
      </c>
      <c r="F80" s="23">
        <v>5835.01</v>
      </c>
      <c r="G80" s="23">
        <v>698.1</v>
      </c>
      <c r="H80" s="23">
        <v>8006</v>
      </c>
      <c r="I80" s="23">
        <v>8006</v>
      </c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>
        <v>12078.8</v>
      </c>
      <c r="AL80" s="23">
        <v>12078.83</v>
      </c>
      <c r="AM80" s="23">
        <v>12078.83</v>
      </c>
      <c r="AN80" s="23">
        <v>60</v>
      </c>
      <c r="AO80" s="23">
        <v>60</v>
      </c>
      <c r="AP80" s="23">
        <v>60</v>
      </c>
      <c r="AQ80" s="23"/>
      <c r="AR80" s="23"/>
      <c r="AS80" s="23"/>
      <c r="AT80" s="23">
        <v>60</v>
      </c>
      <c r="AU80" s="23">
        <v>60</v>
      </c>
      <c r="AV80" s="23">
        <v>60</v>
      </c>
      <c r="AW80" s="23">
        <v>60</v>
      </c>
      <c r="AX80" s="23">
        <v>58.4</v>
      </c>
      <c r="AY80" s="23">
        <v>58.5</v>
      </c>
      <c r="AZ80" s="23">
        <v>58.4</v>
      </c>
      <c r="BA80" s="23">
        <v>58.4</v>
      </c>
      <c r="BB80" s="23">
        <v>58.4</v>
      </c>
      <c r="BC80" s="23">
        <v>58.4</v>
      </c>
      <c r="BD80" s="23">
        <v>58.4</v>
      </c>
      <c r="BE80" s="23">
        <v>58.4</v>
      </c>
      <c r="BF80" s="23">
        <v>58.4</v>
      </c>
      <c r="BG80" s="23">
        <v>31.1</v>
      </c>
      <c r="BH80" s="23">
        <v>30.7</v>
      </c>
      <c r="BI80" s="23">
        <v>30.6</v>
      </c>
      <c r="BJ80" s="19">
        <v>31.1</v>
      </c>
      <c r="BK80" s="22">
        <f>BK82+BK87</f>
        <v>10031.1</v>
      </c>
      <c r="BL80" s="23">
        <v>10031.1</v>
      </c>
      <c r="BM80" s="23">
        <v>10031.1</v>
      </c>
      <c r="BN80" s="23">
        <v>10031.1</v>
      </c>
      <c r="BO80" s="23">
        <v>10031.1</v>
      </c>
      <c r="BP80" s="23">
        <v>37.1</v>
      </c>
      <c r="BQ80" s="23">
        <v>37.299999999999997</v>
      </c>
      <c r="BR80" s="23">
        <v>37.1</v>
      </c>
      <c r="BS80" s="22">
        <v>37.1</v>
      </c>
      <c r="BT80" s="23">
        <f>BT82+BT87</f>
        <v>6937.1</v>
      </c>
      <c r="BU80" s="23">
        <f>BU82+BU87</f>
        <v>6937.1</v>
      </c>
      <c r="BV80" s="23">
        <f t="shared" si="95"/>
        <v>17176.54109589041</v>
      </c>
      <c r="BW80" s="23">
        <v>19.600000000000001</v>
      </c>
      <c r="BX80" s="23">
        <f t="shared" si="96"/>
        <v>0.28253881304868028</v>
      </c>
      <c r="BY80" s="23">
        <f>BY82+BY87</f>
        <v>6937.1</v>
      </c>
      <c r="BZ80" s="23">
        <f t="shared" si="91"/>
        <v>69.1559250730229</v>
      </c>
      <c r="CA80" s="23">
        <v>85.2</v>
      </c>
      <c r="CB80" s="23">
        <f t="shared" si="97"/>
        <v>1.2281789220279367</v>
      </c>
      <c r="CC80" s="23">
        <f t="shared" si="93"/>
        <v>228.41823056300271</v>
      </c>
      <c r="CD80" s="23">
        <v>85.2</v>
      </c>
      <c r="CE80" s="23">
        <f t="shared" si="98"/>
        <v>100</v>
      </c>
      <c r="CF80" s="23">
        <f t="shared" si="94"/>
        <v>229.64959568733155</v>
      </c>
      <c r="CG80" s="23">
        <v>85.2</v>
      </c>
      <c r="CH80" s="23">
        <f t="shared" si="80"/>
        <v>100</v>
      </c>
    </row>
    <row r="81" spans="1:86" ht="22.5" hidden="1" customHeight="1" x14ac:dyDescent="0.25">
      <c r="A81" s="9"/>
      <c r="B81" s="37" t="s">
        <v>217</v>
      </c>
      <c r="C81" s="23"/>
      <c r="D81" s="23"/>
      <c r="E81" s="23"/>
      <c r="F81" s="23">
        <v>3826.57</v>
      </c>
      <c r="G81" s="23"/>
      <c r="H81" s="23">
        <v>6007.9</v>
      </c>
      <c r="I81" s="23">
        <v>6007.9</v>
      </c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>
        <v>12019.8</v>
      </c>
      <c r="AL81" s="23">
        <v>12019.83</v>
      </c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19"/>
      <c r="BK81" s="22"/>
      <c r="BL81" s="23"/>
      <c r="BM81" s="23"/>
      <c r="BN81" s="23"/>
      <c r="BO81" s="23"/>
      <c r="BP81" s="23"/>
      <c r="BQ81" s="23"/>
      <c r="BR81" s="23"/>
      <c r="BS81" s="22"/>
      <c r="BT81" s="23"/>
      <c r="BU81" s="23"/>
      <c r="BV81" s="23" t="e">
        <f t="shared" si="95"/>
        <v>#DIV/0!</v>
      </c>
      <c r="BW81" s="23"/>
      <c r="BX81" s="23" t="e">
        <f t="shared" si="96"/>
        <v>#DIV/0!</v>
      </c>
      <c r="BY81" s="23"/>
      <c r="BZ81" s="23" t="e">
        <f t="shared" si="91"/>
        <v>#DIV/0!</v>
      </c>
      <c r="CA81" s="23"/>
      <c r="CB81" s="23" t="e">
        <f t="shared" si="97"/>
        <v>#DIV/0!</v>
      </c>
      <c r="CC81" s="23" t="e">
        <f t="shared" si="93"/>
        <v>#DIV/0!</v>
      </c>
      <c r="CD81" s="23"/>
      <c r="CE81" s="23" t="e">
        <f t="shared" si="98"/>
        <v>#DIV/0!</v>
      </c>
      <c r="CF81" s="23" t="e">
        <f t="shared" si="94"/>
        <v>#DIV/0!</v>
      </c>
      <c r="CG81" s="23"/>
      <c r="CH81" s="23" t="e">
        <f t="shared" si="80"/>
        <v>#DIV/0!</v>
      </c>
    </row>
    <row r="82" spans="1:86" ht="22.5" hidden="1" customHeight="1" x14ac:dyDescent="0.25">
      <c r="A82" s="9"/>
      <c r="B82" s="37" t="s">
        <v>218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>
        <v>59</v>
      </c>
      <c r="AL82" s="23">
        <v>59</v>
      </c>
      <c r="AM82" s="23"/>
      <c r="AN82" s="23">
        <v>60</v>
      </c>
      <c r="AO82" s="23">
        <v>60</v>
      </c>
      <c r="AP82" s="23">
        <v>60</v>
      </c>
      <c r="AQ82" s="23"/>
      <c r="AR82" s="23"/>
      <c r="AS82" s="23"/>
      <c r="AT82" s="23">
        <v>60</v>
      </c>
      <c r="AU82" s="23">
        <v>60</v>
      </c>
      <c r="AV82" s="23"/>
      <c r="AW82" s="23"/>
      <c r="AX82" s="23">
        <v>58.4</v>
      </c>
      <c r="AY82" s="23">
        <v>58.5</v>
      </c>
      <c r="AZ82" s="23">
        <v>58.4</v>
      </c>
      <c r="BA82" s="23">
        <v>58.4</v>
      </c>
      <c r="BB82" s="23">
        <v>58.4</v>
      </c>
      <c r="BC82" s="23">
        <v>58.4</v>
      </c>
      <c r="BD82" s="23">
        <v>58.4</v>
      </c>
      <c r="BE82" s="23">
        <v>58.4</v>
      </c>
      <c r="BF82" s="23">
        <v>58.4</v>
      </c>
      <c r="BG82" s="23">
        <v>31.1</v>
      </c>
      <c r="BH82" s="23">
        <v>30.7</v>
      </c>
      <c r="BI82" s="23">
        <v>30.6</v>
      </c>
      <c r="BJ82" s="19">
        <v>31.1</v>
      </c>
      <c r="BK82" s="22">
        <v>31.1</v>
      </c>
      <c r="BL82" s="23">
        <v>31.1</v>
      </c>
      <c r="BM82" s="23">
        <v>31.1</v>
      </c>
      <c r="BN82" s="23">
        <v>31.1</v>
      </c>
      <c r="BO82" s="23">
        <v>31.1</v>
      </c>
      <c r="BP82" s="23">
        <v>37.1</v>
      </c>
      <c r="BQ82" s="23">
        <v>37.299999999999997</v>
      </c>
      <c r="BR82" s="23">
        <v>37.1</v>
      </c>
      <c r="BS82" s="22">
        <v>37.1</v>
      </c>
      <c r="BT82" s="23">
        <v>37.1</v>
      </c>
      <c r="BU82" s="23">
        <v>37.1</v>
      </c>
      <c r="BV82" s="23">
        <f t="shared" si="95"/>
        <v>53.253424657534254</v>
      </c>
      <c r="BW82" s="23">
        <v>19.600000000000001</v>
      </c>
      <c r="BX82" s="23">
        <f t="shared" si="96"/>
        <v>52.830188679245282</v>
      </c>
      <c r="BY82" s="23">
        <v>37.1</v>
      </c>
      <c r="BZ82" s="23">
        <f t="shared" si="91"/>
        <v>119.29260450160773</v>
      </c>
      <c r="CA82" s="23">
        <v>85.2</v>
      </c>
      <c r="CB82" s="23">
        <f t="shared" si="97"/>
        <v>229.64959568733155</v>
      </c>
      <c r="CC82" s="23">
        <f t="shared" si="93"/>
        <v>228.41823056300271</v>
      </c>
      <c r="CD82" s="23">
        <v>85.2</v>
      </c>
      <c r="CE82" s="23">
        <f t="shared" si="98"/>
        <v>100</v>
      </c>
      <c r="CF82" s="23">
        <f t="shared" si="94"/>
        <v>229.64959568733155</v>
      </c>
      <c r="CG82" s="23">
        <v>85.2</v>
      </c>
      <c r="CH82" s="23">
        <f t="shared" si="80"/>
        <v>100</v>
      </c>
    </row>
    <row r="83" spans="1:86" ht="22.5" hidden="1" customHeight="1" x14ac:dyDescent="0.25">
      <c r="A83" s="9"/>
      <c r="B83" s="37" t="s">
        <v>219</v>
      </c>
      <c r="C83" s="23"/>
      <c r="D83" s="23"/>
      <c r="E83" s="23"/>
      <c r="F83" s="23">
        <f>1114.24</f>
        <v>1114.24</v>
      </c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19"/>
      <c r="BK83" s="22"/>
      <c r="BL83" s="23"/>
      <c r="BM83" s="23"/>
      <c r="BN83" s="23"/>
      <c r="BO83" s="23"/>
      <c r="BP83" s="23"/>
      <c r="BQ83" s="23"/>
      <c r="BR83" s="23"/>
      <c r="BS83" s="22"/>
      <c r="BT83" s="23"/>
      <c r="BU83" s="23"/>
      <c r="BV83" s="23" t="e">
        <f t="shared" si="95"/>
        <v>#DIV/0!</v>
      </c>
      <c r="BW83" s="23"/>
      <c r="BX83" s="23" t="e">
        <f t="shared" si="96"/>
        <v>#DIV/0!</v>
      </c>
      <c r="BY83" s="23"/>
      <c r="BZ83" s="23" t="e">
        <f t="shared" si="91"/>
        <v>#DIV/0!</v>
      </c>
      <c r="CA83" s="23"/>
      <c r="CB83" s="23" t="e">
        <f t="shared" si="97"/>
        <v>#DIV/0!</v>
      </c>
      <c r="CC83" s="23" t="e">
        <f t="shared" si="93"/>
        <v>#DIV/0!</v>
      </c>
      <c r="CD83" s="23"/>
      <c r="CE83" s="23" t="e">
        <f t="shared" si="98"/>
        <v>#DIV/0!</v>
      </c>
      <c r="CF83" s="23" t="e">
        <f t="shared" si="94"/>
        <v>#DIV/0!</v>
      </c>
      <c r="CG83" s="23"/>
      <c r="CH83" s="23" t="e">
        <f t="shared" si="80"/>
        <v>#DIV/0!</v>
      </c>
    </row>
    <row r="84" spans="1:86" ht="22.5" hidden="1" customHeight="1" x14ac:dyDescent="0.25">
      <c r="A84" s="9"/>
      <c r="B84" s="37" t="s">
        <v>220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19"/>
      <c r="BK84" s="22"/>
      <c r="BL84" s="23"/>
      <c r="BM84" s="23"/>
      <c r="BN84" s="23"/>
      <c r="BO84" s="23"/>
      <c r="BP84" s="23"/>
      <c r="BQ84" s="23"/>
      <c r="BR84" s="23"/>
      <c r="BS84" s="22"/>
      <c r="BT84" s="23"/>
      <c r="BU84" s="23"/>
      <c r="BV84" s="23" t="e">
        <f t="shared" si="95"/>
        <v>#DIV/0!</v>
      </c>
      <c r="BW84" s="23"/>
      <c r="BX84" s="23" t="e">
        <f t="shared" si="96"/>
        <v>#DIV/0!</v>
      </c>
      <c r="BY84" s="23"/>
      <c r="BZ84" s="23" t="e">
        <f t="shared" si="91"/>
        <v>#DIV/0!</v>
      </c>
      <c r="CA84" s="23"/>
      <c r="CB84" s="23" t="e">
        <f t="shared" si="97"/>
        <v>#DIV/0!</v>
      </c>
      <c r="CC84" s="23" t="e">
        <f t="shared" si="93"/>
        <v>#DIV/0!</v>
      </c>
      <c r="CD84" s="23"/>
      <c r="CE84" s="23" t="e">
        <f t="shared" si="98"/>
        <v>#DIV/0!</v>
      </c>
      <c r="CF84" s="23" t="e">
        <f t="shared" si="94"/>
        <v>#DIV/0!</v>
      </c>
      <c r="CG84" s="23"/>
      <c r="CH84" s="23" t="e">
        <f t="shared" si="80"/>
        <v>#DIV/0!</v>
      </c>
    </row>
    <row r="85" spans="1:86" ht="22.5" hidden="1" customHeight="1" x14ac:dyDescent="0.25">
      <c r="A85" s="9"/>
      <c r="B85" s="37" t="s">
        <v>221</v>
      </c>
      <c r="C85" s="23"/>
      <c r="D85" s="23"/>
      <c r="E85" s="23"/>
      <c r="F85" s="23">
        <v>615.6</v>
      </c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19"/>
      <c r="BK85" s="22"/>
      <c r="BL85" s="23"/>
      <c r="BM85" s="23"/>
      <c r="BN85" s="23"/>
      <c r="BO85" s="23"/>
      <c r="BP85" s="23"/>
      <c r="BQ85" s="23"/>
      <c r="BR85" s="23"/>
      <c r="BS85" s="22"/>
      <c r="BT85" s="23"/>
      <c r="BU85" s="23"/>
      <c r="BV85" s="23" t="e">
        <f t="shared" si="95"/>
        <v>#DIV/0!</v>
      </c>
      <c r="BW85" s="23"/>
      <c r="BX85" s="23" t="e">
        <f t="shared" si="96"/>
        <v>#DIV/0!</v>
      </c>
      <c r="BY85" s="23"/>
      <c r="BZ85" s="23" t="e">
        <f t="shared" si="91"/>
        <v>#DIV/0!</v>
      </c>
      <c r="CA85" s="23"/>
      <c r="CB85" s="23" t="e">
        <f t="shared" si="97"/>
        <v>#DIV/0!</v>
      </c>
      <c r="CC85" s="23" t="e">
        <f t="shared" si="93"/>
        <v>#DIV/0!</v>
      </c>
      <c r="CD85" s="23"/>
      <c r="CE85" s="23" t="e">
        <f t="shared" si="98"/>
        <v>#DIV/0!</v>
      </c>
      <c r="CF85" s="23" t="e">
        <f t="shared" si="94"/>
        <v>#DIV/0!</v>
      </c>
      <c r="CG85" s="23"/>
      <c r="CH85" s="23" t="e">
        <f t="shared" si="80"/>
        <v>#DIV/0!</v>
      </c>
    </row>
    <row r="86" spans="1:86" ht="22.5" hidden="1" customHeight="1" x14ac:dyDescent="0.25">
      <c r="A86" s="9"/>
      <c r="B86" s="37" t="s">
        <v>222</v>
      </c>
      <c r="C86" s="23"/>
      <c r="D86" s="23"/>
      <c r="E86" s="23"/>
      <c r="F86" s="23">
        <v>278.60000000000002</v>
      </c>
      <c r="G86" s="23">
        <v>698.1</v>
      </c>
      <c r="H86" s="23">
        <v>698.1</v>
      </c>
      <c r="I86" s="23">
        <v>698.1</v>
      </c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19"/>
      <c r="BK86" s="22"/>
      <c r="BL86" s="23"/>
      <c r="BM86" s="23"/>
      <c r="BN86" s="23"/>
      <c r="BO86" s="23"/>
      <c r="BP86" s="23"/>
      <c r="BQ86" s="23"/>
      <c r="BR86" s="23"/>
      <c r="BS86" s="22"/>
      <c r="BT86" s="23"/>
      <c r="BU86" s="23"/>
      <c r="BV86" s="23" t="e">
        <f t="shared" si="95"/>
        <v>#DIV/0!</v>
      </c>
      <c r="BW86" s="23"/>
      <c r="BX86" s="23" t="e">
        <f t="shared" si="96"/>
        <v>#DIV/0!</v>
      </c>
      <c r="BY86" s="23"/>
      <c r="BZ86" s="23" t="e">
        <f t="shared" si="91"/>
        <v>#DIV/0!</v>
      </c>
      <c r="CA86" s="23"/>
      <c r="CB86" s="23" t="e">
        <f t="shared" si="97"/>
        <v>#DIV/0!</v>
      </c>
      <c r="CC86" s="23" t="e">
        <f t="shared" si="93"/>
        <v>#DIV/0!</v>
      </c>
      <c r="CD86" s="23"/>
      <c r="CE86" s="23" t="e">
        <f t="shared" si="98"/>
        <v>#DIV/0!</v>
      </c>
      <c r="CF86" s="23" t="e">
        <f t="shared" si="94"/>
        <v>#DIV/0!</v>
      </c>
      <c r="CG86" s="23"/>
      <c r="CH86" s="23" t="e">
        <f t="shared" si="80"/>
        <v>#DIV/0!</v>
      </c>
    </row>
    <row r="87" spans="1:86" ht="22.5" hidden="1" customHeight="1" x14ac:dyDescent="0.25">
      <c r="A87" s="9"/>
      <c r="B87" s="37" t="s">
        <v>223</v>
      </c>
      <c r="C87" s="23"/>
      <c r="D87" s="23"/>
      <c r="E87" s="23"/>
      <c r="F87" s="23"/>
      <c r="G87" s="23"/>
      <c r="H87" s="23">
        <v>1300</v>
      </c>
      <c r="I87" s="23">
        <v>1300</v>
      </c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19"/>
      <c r="BK87" s="22">
        <v>10000</v>
      </c>
      <c r="BL87" s="23"/>
      <c r="BM87" s="23">
        <f>10000</f>
        <v>10000</v>
      </c>
      <c r="BN87" s="23"/>
      <c r="BO87" s="23"/>
      <c r="BP87" s="23"/>
      <c r="BQ87" s="23"/>
      <c r="BR87" s="23"/>
      <c r="BS87" s="22"/>
      <c r="BT87" s="23">
        <v>6900</v>
      </c>
      <c r="BU87" s="23">
        <v>6900</v>
      </c>
      <c r="BV87" s="23" t="e">
        <f t="shared" si="95"/>
        <v>#DIV/0!</v>
      </c>
      <c r="BW87" s="23">
        <v>0</v>
      </c>
      <c r="BX87" s="23">
        <f t="shared" si="96"/>
        <v>0</v>
      </c>
      <c r="BY87" s="23">
        <v>6900</v>
      </c>
      <c r="BZ87" s="23" t="e">
        <f t="shared" si="91"/>
        <v>#DIV/0!</v>
      </c>
      <c r="CA87" s="23"/>
      <c r="CB87" s="23">
        <f t="shared" si="97"/>
        <v>0</v>
      </c>
      <c r="CC87" s="23" t="e">
        <f t="shared" si="93"/>
        <v>#DIV/0!</v>
      </c>
      <c r="CD87" s="23"/>
      <c r="CE87" s="23" t="e">
        <f t="shared" si="98"/>
        <v>#DIV/0!</v>
      </c>
      <c r="CF87" s="23" t="e">
        <f t="shared" si="94"/>
        <v>#DIV/0!</v>
      </c>
      <c r="CG87" s="23"/>
      <c r="CH87" s="23" t="e">
        <f t="shared" si="80"/>
        <v>#DIV/0!</v>
      </c>
    </row>
    <row r="88" spans="1:86" ht="24" customHeight="1" x14ac:dyDescent="0.25">
      <c r="A88" s="17" t="s">
        <v>224</v>
      </c>
      <c r="B88" s="18" t="s">
        <v>225</v>
      </c>
      <c r="C88" s="19">
        <f t="shared" ref="C88:Z88" si="110">C90+C91</f>
        <v>595.70000000000005</v>
      </c>
      <c r="D88" s="19">
        <f t="shared" si="110"/>
        <v>597.9</v>
      </c>
      <c r="E88" s="19">
        <f t="shared" si="110"/>
        <v>597.9</v>
      </c>
      <c r="F88" s="19">
        <f t="shared" si="110"/>
        <v>597.9</v>
      </c>
      <c r="G88" s="19">
        <f t="shared" si="110"/>
        <v>367</v>
      </c>
      <c r="H88" s="19">
        <f t="shared" si="110"/>
        <v>512.4</v>
      </c>
      <c r="I88" s="19">
        <f t="shared" si="110"/>
        <v>512.34440999999993</v>
      </c>
      <c r="J88" s="19">
        <f t="shared" si="110"/>
        <v>879</v>
      </c>
      <c r="K88" s="19">
        <f t="shared" si="110"/>
        <v>879</v>
      </c>
      <c r="L88" s="19">
        <f t="shared" si="110"/>
        <v>879</v>
      </c>
      <c r="M88" s="19">
        <f t="shared" si="110"/>
        <v>879</v>
      </c>
      <c r="N88" s="19">
        <f t="shared" si="110"/>
        <v>876</v>
      </c>
      <c r="O88" s="19">
        <f t="shared" si="110"/>
        <v>698.4</v>
      </c>
      <c r="P88" s="19">
        <f t="shared" si="110"/>
        <v>698.4</v>
      </c>
      <c r="Q88" s="19">
        <f t="shared" si="110"/>
        <v>698.4</v>
      </c>
      <c r="R88" s="19">
        <f t="shared" si="110"/>
        <v>889</v>
      </c>
      <c r="S88" s="19">
        <f t="shared" si="110"/>
        <v>653</v>
      </c>
      <c r="T88" s="19">
        <f t="shared" si="110"/>
        <v>653</v>
      </c>
      <c r="U88" s="19">
        <f t="shared" si="110"/>
        <v>653</v>
      </c>
      <c r="V88" s="19">
        <f t="shared" si="110"/>
        <v>475.2</v>
      </c>
      <c r="W88" s="19">
        <f t="shared" si="110"/>
        <v>475.2</v>
      </c>
      <c r="X88" s="19">
        <f t="shared" si="110"/>
        <v>475.2</v>
      </c>
      <c r="Y88" s="19">
        <f t="shared" si="110"/>
        <v>475.2</v>
      </c>
      <c r="Z88" s="19">
        <f t="shared" si="110"/>
        <v>493.8</v>
      </c>
      <c r="AA88" s="19">
        <f>AA90+AA91+AA89</f>
        <v>495.84000000000003</v>
      </c>
      <c r="AB88" s="19">
        <f>AB90+AB91+AB89</f>
        <v>495.84000000000003</v>
      </c>
      <c r="AC88" s="19">
        <f>AC90+AC91+AC89</f>
        <v>495.84000000000003</v>
      </c>
      <c r="AD88" s="19">
        <f>AD90+AD91</f>
        <v>514.9</v>
      </c>
      <c r="AE88" s="19">
        <f>AE90+AE91+AE89</f>
        <v>548.6</v>
      </c>
      <c r="AF88" s="19">
        <f>AF90+AF91+AF89</f>
        <v>548.6</v>
      </c>
      <c r="AG88" s="19">
        <f>AG90+AG91+AG89</f>
        <v>548.6</v>
      </c>
      <c r="AH88" s="19">
        <f>AH90+AH91</f>
        <v>547.9</v>
      </c>
      <c r="AI88" s="19">
        <f>AI90+AI91</f>
        <v>552</v>
      </c>
      <c r="AJ88" s="19">
        <f>AJ90+AJ91</f>
        <v>565.1</v>
      </c>
      <c r="AK88" s="19">
        <f>AK90+AK91+AK89</f>
        <v>593.1</v>
      </c>
      <c r="AL88" s="19">
        <f>AL90+AL91+AL89</f>
        <v>593.09299999999996</v>
      </c>
      <c r="AM88" s="19">
        <f>AM90+AM91+AM89</f>
        <v>593.09299999999996</v>
      </c>
      <c r="AN88" s="19">
        <f>AN90+AN91</f>
        <v>567</v>
      </c>
      <c r="AO88" s="19">
        <f>AO90+AO91</f>
        <v>567</v>
      </c>
      <c r="AP88" s="19">
        <f>AP90+AP91</f>
        <v>567</v>
      </c>
      <c r="AQ88" s="19">
        <v>645.1</v>
      </c>
      <c r="AR88" s="19">
        <v>645.1</v>
      </c>
      <c r="AS88" s="19">
        <v>702.8</v>
      </c>
      <c r="AT88" s="19">
        <f>AT90+AT91+AT89</f>
        <v>702.80000000000007</v>
      </c>
      <c r="AU88" s="19">
        <f>AU90+AU91+AU89</f>
        <v>702.80000000000007</v>
      </c>
      <c r="AV88" s="19">
        <f>AV90+AV91+AV89</f>
        <v>702.77700000000004</v>
      </c>
      <c r="AW88" s="19">
        <f>AW90+AW91+AW89</f>
        <v>702.77700000000004</v>
      </c>
      <c r="AX88" s="19">
        <f t="shared" ref="AX88" si="111">AX90+AX91</f>
        <v>597.70000000000005</v>
      </c>
      <c r="AY88" s="19">
        <f>AY90+AY91</f>
        <v>614.4</v>
      </c>
      <c r="AZ88" s="19">
        <f>AZ90+AZ91</f>
        <v>632.29999999999995</v>
      </c>
      <c r="BA88" s="19">
        <f t="shared" ref="BA88:BB88" si="112">BA90+BA91</f>
        <v>597.70000000000005</v>
      </c>
      <c r="BB88" s="19">
        <f t="shared" si="112"/>
        <v>597.70000000000005</v>
      </c>
      <c r="BC88" s="19">
        <v>653</v>
      </c>
      <c r="BD88" s="19">
        <v>653</v>
      </c>
      <c r="BE88" s="19">
        <f>BE90+BE91+BE89</f>
        <v>653.01150999999993</v>
      </c>
      <c r="BF88" s="19">
        <f>BF90+BF91+BF89</f>
        <v>653.01150999999993</v>
      </c>
      <c r="BG88" s="19">
        <f t="shared" ref="BG88" si="113">BG90+BG91</f>
        <v>711.5</v>
      </c>
      <c r="BH88" s="19">
        <f>BH90+BH91</f>
        <v>739.3</v>
      </c>
      <c r="BI88" s="19">
        <f>BI90+BI91</f>
        <v>761.9</v>
      </c>
      <c r="BJ88" s="19">
        <f t="shared" ref="BJ88:BK88" si="114">BJ90+BJ91</f>
        <v>711.5</v>
      </c>
      <c r="BK88" s="19">
        <f t="shared" si="114"/>
        <v>725.80000000000007</v>
      </c>
      <c r="BL88" s="19">
        <f>BL90+BL91+BL89</f>
        <v>1048.2</v>
      </c>
      <c r="BM88" s="19">
        <v>1025</v>
      </c>
      <c r="BN88" s="19">
        <f>BN90+BN91+BN89</f>
        <v>1048.1578400000001</v>
      </c>
      <c r="BO88" s="19">
        <f>BO90+BO91+BO89</f>
        <v>1048.1578400000001</v>
      </c>
      <c r="BP88" s="19">
        <f t="shared" ref="BP88" si="115">BP90+BP91</f>
        <v>844.1</v>
      </c>
      <c r="BQ88" s="19">
        <f>BQ90+BQ91</f>
        <v>917</v>
      </c>
      <c r="BR88" s="19">
        <f>BR90+BR91</f>
        <v>991.2</v>
      </c>
      <c r="BS88" s="19">
        <f>BS90+BS91</f>
        <v>844.1</v>
      </c>
      <c r="BT88" s="19">
        <f>BT89+BT90+BT91</f>
        <v>844.1</v>
      </c>
      <c r="BU88" s="19">
        <f>BU89+BU90+BU91</f>
        <v>844.1</v>
      </c>
      <c r="BV88" s="23">
        <f t="shared" si="95"/>
        <v>160.51138822958882</v>
      </c>
      <c r="BW88" s="19">
        <f>BW89+BW90+BW91</f>
        <v>616.29999999999995</v>
      </c>
      <c r="BX88" s="23">
        <f t="shared" si="96"/>
        <v>73.012676223196294</v>
      </c>
      <c r="BY88" s="19">
        <f>BY89+BY90+BY91</f>
        <v>844.1</v>
      </c>
      <c r="BZ88" s="23">
        <f t="shared" si="91"/>
        <v>80.531764185439854</v>
      </c>
      <c r="CA88" s="19">
        <f t="shared" ref="CA88" si="116">CA90+CA91</f>
        <v>995.2</v>
      </c>
      <c r="CB88" s="23">
        <f t="shared" si="97"/>
        <v>117.90072266319156</v>
      </c>
      <c r="CC88" s="23">
        <f t="shared" si="93"/>
        <v>108.52780806979281</v>
      </c>
      <c r="CD88" s="19">
        <f>CD90+CD91</f>
        <v>1081.3</v>
      </c>
      <c r="CE88" s="23">
        <f t="shared" si="98"/>
        <v>108.6515273311897</v>
      </c>
      <c r="CF88" s="23">
        <f t="shared" si="94"/>
        <v>109.08999192897497</v>
      </c>
      <c r="CG88" s="19">
        <f>CG90+CG91</f>
        <v>1115.5999999999999</v>
      </c>
      <c r="CH88" s="23">
        <f t="shared" si="80"/>
        <v>103.17210764820123</v>
      </c>
    </row>
    <row r="89" spans="1:86" s="24" customFormat="1" ht="22.5" hidden="1" customHeight="1" x14ac:dyDescent="0.25">
      <c r="A89" s="9" t="s">
        <v>226</v>
      </c>
      <c r="B89" s="37" t="s">
        <v>227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>
        <v>2.04</v>
      </c>
      <c r="AB89" s="23">
        <v>2.04</v>
      </c>
      <c r="AC89" s="23">
        <v>2.04</v>
      </c>
      <c r="AD89" s="23"/>
      <c r="AE89" s="23"/>
      <c r="AF89" s="23"/>
      <c r="AG89" s="23"/>
      <c r="AH89" s="23"/>
      <c r="AI89" s="23"/>
      <c r="AJ89" s="23"/>
      <c r="AK89" s="23">
        <v>2.2000000000000002</v>
      </c>
      <c r="AL89" s="23">
        <v>2.1930000000000001</v>
      </c>
      <c r="AM89" s="23">
        <v>2.1930000000000001</v>
      </c>
      <c r="AN89" s="23"/>
      <c r="AO89" s="23"/>
      <c r="AP89" s="23"/>
      <c r="AQ89" s="23"/>
      <c r="AR89" s="23"/>
      <c r="AS89" s="23"/>
      <c r="AT89" s="23">
        <v>78.099999999999994</v>
      </c>
      <c r="AU89" s="23">
        <v>78.099999999999994</v>
      </c>
      <c r="AV89" s="23">
        <v>78.08</v>
      </c>
      <c r="AW89" s="23">
        <v>78.08</v>
      </c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>
        <v>299.2</v>
      </c>
      <c r="BK89" s="26">
        <v>299.2</v>
      </c>
      <c r="BL89" s="23">
        <v>299.2</v>
      </c>
      <c r="BM89" s="23"/>
      <c r="BN89" s="23">
        <v>299.19983999999999</v>
      </c>
      <c r="BO89" s="23">
        <v>299.19983999999999</v>
      </c>
      <c r="BP89" s="23"/>
      <c r="BQ89" s="23"/>
      <c r="BR89" s="23"/>
      <c r="BS89" s="26"/>
      <c r="BT89" s="23"/>
      <c r="BU89" s="23"/>
      <c r="BV89" s="23" t="e">
        <f t="shared" si="95"/>
        <v>#DIV/0!</v>
      </c>
      <c r="BW89" s="23"/>
      <c r="BX89" s="23" t="e">
        <f t="shared" si="96"/>
        <v>#DIV/0!</v>
      </c>
      <c r="BY89" s="23"/>
      <c r="BZ89" s="23">
        <f t="shared" si="91"/>
        <v>0</v>
      </c>
      <c r="CA89" s="23"/>
      <c r="CB89" s="23" t="e">
        <f t="shared" si="97"/>
        <v>#DIV/0!</v>
      </c>
      <c r="CC89" s="23" t="e">
        <f t="shared" si="93"/>
        <v>#DIV/0!</v>
      </c>
      <c r="CD89" s="23"/>
      <c r="CE89" s="23" t="e">
        <f t="shared" si="98"/>
        <v>#DIV/0!</v>
      </c>
      <c r="CF89" s="23" t="e">
        <f t="shared" si="94"/>
        <v>#DIV/0!</v>
      </c>
      <c r="CG89" s="23"/>
      <c r="CH89" s="23" t="e">
        <f t="shared" si="80"/>
        <v>#DIV/0!</v>
      </c>
    </row>
    <row r="90" spans="1:86" ht="22.5" hidden="1" customHeight="1" x14ac:dyDescent="0.25">
      <c r="A90" s="9" t="s">
        <v>228</v>
      </c>
      <c r="B90" s="37" t="s">
        <v>229</v>
      </c>
      <c r="C90" s="23">
        <v>55</v>
      </c>
      <c r="D90" s="23">
        <v>94</v>
      </c>
      <c r="E90" s="23">
        <v>94</v>
      </c>
      <c r="F90" s="23">
        <v>94</v>
      </c>
      <c r="G90" s="23">
        <v>85</v>
      </c>
      <c r="H90" s="23">
        <v>111.5</v>
      </c>
      <c r="I90" s="23">
        <v>111.5</v>
      </c>
      <c r="J90" s="23">
        <v>99</v>
      </c>
      <c r="K90" s="23">
        <v>99</v>
      </c>
      <c r="L90" s="23">
        <v>99</v>
      </c>
      <c r="M90" s="23">
        <v>99</v>
      </c>
      <c r="N90" s="23">
        <v>88</v>
      </c>
      <c r="O90" s="23">
        <v>88</v>
      </c>
      <c r="P90" s="23">
        <v>88</v>
      </c>
      <c r="Q90" s="23">
        <v>88</v>
      </c>
      <c r="R90" s="23">
        <v>101</v>
      </c>
      <c r="S90" s="23">
        <v>101</v>
      </c>
      <c r="T90" s="23">
        <v>101</v>
      </c>
      <c r="U90" s="23">
        <v>101</v>
      </c>
      <c r="V90" s="23">
        <v>97</v>
      </c>
      <c r="W90" s="23">
        <v>97</v>
      </c>
      <c r="X90" s="23">
        <v>97</v>
      </c>
      <c r="Y90" s="23">
        <v>97</v>
      </c>
      <c r="Z90" s="23">
        <v>100</v>
      </c>
      <c r="AA90" s="23">
        <v>100</v>
      </c>
      <c r="AB90" s="23">
        <v>100</v>
      </c>
      <c r="AC90" s="23">
        <v>100</v>
      </c>
      <c r="AD90" s="23">
        <v>79.400000000000006</v>
      </c>
      <c r="AE90" s="23">
        <v>113.1</v>
      </c>
      <c r="AF90" s="23">
        <v>113.1</v>
      </c>
      <c r="AG90" s="23">
        <v>113.1</v>
      </c>
      <c r="AH90" s="23">
        <f>22.1+87.8</f>
        <v>109.9</v>
      </c>
      <c r="AI90" s="23">
        <f>22.1+87.8</f>
        <v>109.9</v>
      </c>
      <c r="AJ90" s="23">
        <f>22.1+87.8</f>
        <v>109.9</v>
      </c>
      <c r="AK90" s="23">
        <v>109.9</v>
      </c>
      <c r="AL90" s="23">
        <v>109.9</v>
      </c>
      <c r="AM90" s="23">
        <v>109.9</v>
      </c>
      <c r="AN90" s="23">
        <v>100.6</v>
      </c>
      <c r="AO90" s="23">
        <v>100.6</v>
      </c>
      <c r="AP90" s="23">
        <v>100.6</v>
      </c>
      <c r="AQ90" s="23">
        <v>100.6</v>
      </c>
      <c r="AR90" s="23">
        <v>100.6</v>
      </c>
      <c r="AS90" s="23"/>
      <c r="AT90" s="23">
        <v>100.6</v>
      </c>
      <c r="AU90" s="23">
        <v>100.6</v>
      </c>
      <c r="AV90" s="23">
        <v>100.6</v>
      </c>
      <c r="AW90" s="23">
        <v>100.6</v>
      </c>
      <c r="AX90" s="23">
        <v>103.9</v>
      </c>
      <c r="AY90" s="23">
        <v>103.9</v>
      </c>
      <c r="AZ90" s="23">
        <v>103.9</v>
      </c>
      <c r="BA90" s="23">
        <v>103.9</v>
      </c>
      <c r="BB90" s="23">
        <v>103.9</v>
      </c>
      <c r="BC90" s="23">
        <v>103.9</v>
      </c>
      <c r="BD90" s="23">
        <v>103.9</v>
      </c>
      <c r="BE90" s="23">
        <v>103.9</v>
      </c>
      <c r="BF90" s="23">
        <v>103.9</v>
      </c>
      <c r="BG90" s="23">
        <v>116.8</v>
      </c>
      <c r="BH90" s="23">
        <v>116.8</v>
      </c>
      <c r="BI90" s="23">
        <v>116.8</v>
      </c>
      <c r="BJ90" s="19">
        <v>116.8</v>
      </c>
      <c r="BK90" s="22">
        <v>131.1</v>
      </c>
      <c r="BL90" s="23">
        <v>131.1</v>
      </c>
      <c r="BM90" s="23"/>
      <c r="BN90" s="23">
        <v>131.05000000000001</v>
      </c>
      <c r="BO90" s="23">
        <v>131.05000000000001</v>
      </c>
      <c r="BP90" s="23">
        <v>143.6</v>
      </c>
      <c r="BQ90" s="23">
        <v>143.6</v>
      </c>
      <c r="BR90" s="23">
        <v>143.6</v>
      </c>
      <c r="BS90" s="22">
        <v>143.6</v>
      </c>
      <c r="BT90" s="23">
        <v>143.6</v>
      </c>
      <c r="BU90" s="23">
        <v>143.6</v>
      </c>
      <c r="BV90" s="23">
        <f t="shared" si="95"/>
        <v>126.13089509143407</v>
      </c>
      <c r="BW90" s="23">
        <v>96.9</v>
      </c>
      <c r="BX90" s="23">
        <f t="shared" si="96"/>
        <v>67.479108635097489</v>
      </c>
      <c r="BY90" s="23">
        <v>143.6</v>
      </c>
      <c r="BZ90" s="23">
        <f t="shared" si="91"/>
        <v>109.57649752003051</v>
      </c>
      <c r="CA90" s="23">
        <v>138.6</v>
      </c>
      <c r="CB90" s="23">
        <f t="shared" si="97"/>
        <v>96.51810584958217</v>
      </c>
      <c r="CC90" s="23">
        <f t="shared" si="93"/>
        <v>96.51810584958217</v>
      </c>
      <c r="CD90" s="23">
        <v>142.69999999999999</v>
      </c>
      <c r="CE90" s="23">
        <f t="shared" si="98"/>
        <v>102.95815295815297</v>
      </c>
      <c r="CF90" s="23">
        <f t="shared" si="94"/>
        <v>99.373259052924794</v>
      </c>
      <c r="CG90" s="23">
        <v>142.69999999999999</v>
      </c>
      <c r="CH90" s="23">
        <f t="shared" si="80"/>
        <v>100</v>
      </c>
    </row>
    <row r="91" spans="1:86" ht="22.5" hidden="1" customHeight="1" x14ac:dyDescent="0.25">
      <c r="A91" s="9" t="s">
        <v>230</v>
      </c>
      <c r="B91" s="37" t="s">
        <v>231</v>
      </c>
      <c r="C91" s="23">
        <v>540.70000000000005</v>
      </c>
      <c r="D91" s="23">
        <v>503.9</v>
      </c>
      <c r="E91" s="23">
        <v>503.9</v>
      </c>
      <c r="F91" s="23">
        <v>503.9</v>
      </c>
      <c r="G91" s="23">
        <v>282</v>
      </c>
      <c r="H91" s="23">
        <v>400.9</v>
      </c>
      <c r="I91" s="23">
        <v>400.84440999999998</v>
      </c>
      <c r="J91" s="23">
        <v>780</v>
      </c>
      <c r="K91" s="23">
        <v>780</v>
      </c>
      <c r="L91" s="23">
        <v>780</v>
      </c>
      <c r="M91" s="23">
        <v>780</v>
      </c>
      <c r="N91" s="23">
        <v>788</v>
      </c>
      <c r="O91" s="23">
        <v>610.4</v>
      </c>
      <c r="P91" s="23">
        <v>610.4</v>
      </c>
      <c r="Q91" s="23">
        <v>610.4</v>
      </c>
      <c r="R91" s="23">
        <v>788</v>
      </c>
      <c r="S91" s="23">
        <v>552</v>
      </c>
      <c r="T91" s="23">
        <v>552</v>
      </c>
      <c r="U91" s="23">
        <v>552</v>
      </c>
      <c r="V91" s="23">
        <v>378.2</v>
      </c>
      <c r="W91" s="23">
        <v>378.2</v>
      </c>
      <c r="X91" s="23">
        <v>378.2</v>
      </c>
      <c r="Y91" s="23">
        <v>378.2</v>
      </c>
      <c r="Z91" s="23">
        <v>393.8</v>
      </c>
      <c r="AA91" s="23">
        <v>393.8</v>
      </c>
      <c r="AB91" s="23">
        <v>393.8</v>
      </c>
      <c r="AC91" s="23">
        <v>393.8</v>
      </c>
      <c r="AD91" s="23">
        <v>435.5</v>
      </c>
      <c r="AE91" s="23">
        <v>435.5</v>
      </c>
      <c r="AF91" s="23">
        <v>435.5</v>
      </c>
      <c r="AG91" s="23">
        <v>435.5</v>
      </c>
      <c r="AH91" s="23">
        <v>438</v>
      </c>
      <c r="AI91" s="23">
        <v>442.1</v>
      </c>
      <c r="AJ91" s="23">
        <v>455.2</v>
      </c>
      <c r="AK91" s="23">
        <v>481</v>
      </c>
      <c r="AL91" s="23">
        <v>481</v>
      </c>
      <c r="AM91" s="23">
        <v>481</v>
      </c>
      <c r="AN91" s="23">
        <v>466.4</v>
      </c>
      <c r="AO91" s="23">
        <v>466.4</v>
      </c>
      <c r="AP91" s="23">
        <v>466.4</v>
      </c>
      <c r="AQ91" s="23">
        <v>466.4</v>
      </c>
      <c r="AR91" s="23">
        <v>466.4</v>
      </c>
      <c r="AS91" s="23"/>
      <c r="AT91" s="23">
        <v>524.1</v>
      </c>
      <c r="AU91" s="23">
        <v>524.1</v>
      </c>
      <c r="AV91" s="23">
        <v>524.09699999999998</v>
      </c>
      <c r="AW91" s="23">
        <v>524.09699999999998</v>
      </c>
      <c r="AX91" s="23">
        <v>493.8</v>
      </c>
      <c r="AY91" s="23">
        <v>510.5</v>
      </c>
      <c r="AZ91" s="23">
        <v>528.4</v>
      </c>
      <c r="BA91" s="23">
        <v>493.8</v>
      </c>
      <c r="BB91" s="23">
        <v>493.8</v>
      </c>
      <c r="BC91" s="23">
        <v>549.1</v>
      </c>
      <c r="BD91" s="23">
        <v>549.1</v>
      </c>
      <c r="BE91" s="23">
        <v>549.11150999999995</v>
      </c>
      <c r="BF91" s="23">
        <v>549.11150999999995</v>
      </c>
      <c r="BG91" s="23">
        <v>594.70000000000005</v>
      </c>
      <c r="BH91" s="23">
        <v>622.5</v>
      </c>
      <c r="BI91" s="23">
        <v>645.1</v>
      </c>
      <c r="BJ91" s="19">
        <v>594.70000000000005</v>
      </c>
      <c r="BK91" s="22">
        <v>594.70000000000005</v>
      </c>
      <c r="BL91" s="23">
        <v>617.9</v>
      </c>
      <c r="BM91" s="23"/>
      <c r="BN91" s="23">
        <v>617.90800000000002</v>
      </c>
      <c r="BO91" s="23">
        <v>617.90800000000002</v>
      </c>
      <c r="BP91" s="23">
        <v>700.5</v>
      </c>
      <c r="BQ91" s="23">
        <v>773.4</v>
      </c>
      <c r="BR91" s="23">
        <v>847.6</v>
      </c>
      <c r="BS91" s="22">
        <v>700.5</v>
      </c>
      <c r="BT91" s="23">
        <v>700.5</v>
      </c>
      <c r="BU91" s="23">
        <v>700.5</v>
      </c>
      <c r="BV91" s="23">
        <f t="shared" si="95"/>
        <v>112.52869203196998</v>
      </c>
      <c r="BW91" s="23">
        <v>519.4</v>
      </c>
      <c r="BX91" s="23">
        <f t="shared" si="96"/>
        <v>74.147037830121349</v>
      </c>
      <c r="BY91" s="23">
        <v>700.5</v>
      </c>
      <c r="BZ91" s="23">
        <f t="shared" si="91"/>
        <v>113.36639111324016</v>
      </c>
      <c r="CA91" s="23">
        <v>856.6</v>
      </c>
      <c r="CB91" s="23">
        <f t="shared" si="97"/>
        <v>122.28408279800142</v>
      </c>
      <c r="CC91" s="23">
        <f t="shared" si="93"/>
        <v>110.75769330230155</v>
      </c>
      <c r="CD91" s="23">
        <v>938.6</v>
      </c>
      <c r="CE91" s="23">
        <f t="shared" si="98"/>
        <v>109.57272939528369</v>
      </c>
      <c r="CF91" s="23">
        <f t="shared" si="94"/>
        <v>110.7361963190184</v>
      </c>
      <c r="CG91" s="23">
        <v>972.9</v>
      </c>
      <c r="CH91" s="23">
        <f t="shared" si="80"/>
        <v>103.65437886213509</v>
      </c>
    </row>
    <row r="92" spans="1:86" ht="21.75" customHeight="1" x14ac:dyDescent="0.25">
      <c r="A92" s="17" t="s">
        <v>232</v>
      </c>
      <c r="B92" s="18" t="s">
        <v>233</v>
      </c>
      <c r="C92" s="19">
        <f t="shared" ref="C92:J92" si="117">C95</f>
        <v>3649.0920000000001</v>
      </c>
      <c r="D92" s="19">
        <f t="shared" si="117"/>
        <v>0</v>
      </c>
      <c r="E92" s="19">
        <f t="shared" si="117"/>
        <v>1357.2</v>
      </c>
      <c r="F92" s="19">
        <f t="shared" si="117"/>
        <v>1357.10265</v>
      </c>
      <c r="G92" s="19">
        <f t="shared" si="117"/>
        <v>0</v>
      </c>
      <c r="H92" s="19">
        <f t="shared" si="117"/>
        <v>2097.4</v>
      </c>
      <c r="I92" s="19">
        <f t="shared" si="117"/>
        <v>2095.3605499999999</v>
      </c>
      <c r="J92" s="19">
        <f t="shared" si="117"/>
        <v>2839</v>
      </c>
      <c r="K92" s="19">
        <f>K95+K94</f>
        <v>5046.5</v>
      </c>
      <c r="L92" s="19">
        <f>L95+L94</f>
        <v>5033.9957200000008</v>
      </c>
      <c r="M92" s="19">
        <f>M95+M94</f>
        <v>3776.9957199999999</v>
      </c>
      <c r="N92" s="19">
        <f>N95</f>
        <v>2866.4</v>
      </c>
      <c r="O92" s="19">
        <f>O95+O94+O93</f>
        <v>16891.599999999999</v>
      </c>
      <c r="P92" s="19">
        <f>P95+P94+P93</f>
        <v>16500.155650000001</v>
      </c>
      <c r="Q92" s="19">
        <f>Q95+Q94+Q93</f>
        <v>16500.155650000001</v>
      </c>
      <c r="R92" s="19">
        <f>R95</f>
        <v>15588.900000000001</v>
      </c>
      <c r="S92" s="19">
        <f>S95+S94+S93</f>
        <v>17582.2</v>
      </c>
      <c r="T92" s="19">
        <f>T95+T94+T93</f>
        <v>17582.15799</v>
      </c>
      <c r="U92" s="19">
        <f>U95+U94+U93</f>
        <v>16750.457989999999</v>
      </c>
      <c r="V92" s="19">
        <f>V95</f>
        <v>3385.5</v>
      </c>
      <c r="W92" s="19">
        <f>W95+W94+W93</f>
        <v>24735.200000000001</v>
      </c>
      <c r="X92" s="19">
        <f>X95+X94+X93</f>
        <v>24650.823359999999</v>
      </c>
      <c r="Y92" s="19">
        <f>Y95+Y94+Y93</f>
        <v>24650.823359999999</v>
      </c>
      <c r="Z92" s="19">
        <f>Z95</f>
        <v>1378.3</v>
      </c>
      <c r="AA92" s="19">
        <f>AA95+AA94+AA93</f>
        <v>5369</v>
      </c>
      <c r="AB92" s="19">
        <f>AB95+AB94+AB93</f>
        <v>5368.9667399999998</v>
      </c>
      <c r="AC92" s="19">
        <f>AC95+AC94+AC93</f>
        <v>5368.9667399999998</v>
      </c>
      <c r="AD92" s="19">
        <f>AD95</f>
        <v>3444.3</v>
      </c>
      <c r="AE92" s="19">
        <f>AE95+AE94+AE93</f>
        <v>12296.5</v>
      </c>
      <c r="AF92" s="19">
        <f>AF95+AF94+AF93</f>
        <v>12296.59355</v>
      </c>
      <c r="AG92" s="19">
        <f>AG95+AG94+AG93</f>
        <v>12296.59355</v>
      </c>
      <c r="AH92" s="19">
        <f>AH95</f>
        <v>6628.5</v>
      </c>
      <c r="AI92" s="19">
        <f>AI95</f>
        <v>5972.4</v>
      </c>
      <c r="AJ92" s="19">
        <f>AJ95</f>
        <v>5972.4</v>
      </c>
      <c r="AK92" s="19">
        <f>AK95+AK94+AK93</f>
        <v>39952.1</v>
      </c>
      <c r="AL92" s="19">
        <f>AL95+AL94+AL93</f>
        <v>39952.047599999998</v>
      </c>
      <c r="AM92" s="19">
        <f>AM95+AM94+AM93</f>
        <v>39952.047599999998</v>
      </c>
      <c r="AN92" s="19">
        <f>AN95</f>
        <v>1790.4</v>
      </c>
      <c r="AO92" s="19">
        <f>AO95</f>
        <v>1790.4</v>
      </c>
      <c r="AP92" s="19">
        <f>AP95</f>
        <v>1790.4</v>
      </c>
      <c r="AQ92" s="19">
        <v>2565.1999999999998</v>
      </c>
      <c r="AR92" s="19">
        <v>4693</v>
      </c>
      <c r="AS92" s="19">
        <v>22451</v>
      </c>
      <c r="AT92" s="19">
        <f>AT95+AT94+AT93</f>
        <v>25075.7</v>
      </c>
      <c r="AU92" s="19">
        <f>AU95+AU94+AU93</f>
        <v>31302.7</v>
      </c>
      <c r="AV92" s="19">
        <f>AV95+AV94+AV93</f>
        <v>31113.612809999999</v>
      </c>
      <c r="AW92" s="19">
        <f>AW95+AW94+AW93</f>
        <v>31113.612809999999</v>
      </c>
      <c r="AX92" s="19">
        <f t="shared" ref="AX92" si="118">AX95</f>
        <v>21606.3</v>
      </c>
      <c r="AY92" s="19">
        <f>AY95</f>
        <v>6292.6</v>
      </c>
      <c r="AZ92" s="19">
        <f>AZ95</f>
        <v>5178.3</v>
      </c>
      <c r="BA92" s="19">
        <v>25405.599999999999</v>
      </c>
      <c r="BB92" s="19">
        <v>30965.4</v>
      </c>
      <c r="BC92" s="19">
        <f t="shared" ref="BC92:BG92" si="119">BC95</f>
        <v>18194</v>
      </c>
      <c r="BD92" s="19">
        <f t="shared" si="119"/>
        <v>42264.6</v>
      </c>
      <c r="BE92" s="19">
        <f t="shared" si="119"/>
        <v>42260.086860000003</v>
      </c>
      <c r="BF92" s="19">
        <f>BF95+BF94+BF93</f>
        <v>42260.086860000003</v>
      </c>
      <c r="BG92" s="19">
        <f t="shared" si="119"/>
        <v>17031.5</v>
      </c>
      <c r="BH92" s="19">
        <f>BH95</f>
        <v>9154.7000000000007</v>
      </c>
      <c r="BI92" s="19">
        <f>BI95</f>
        <v>8547.5</v>
      </c>
      <c r="BJ92" s="19">
        <f t="shared" ref="BJ92:BP92" si="120">BJ95</f>
        <v>18815.400000000001</v>
      </c>
      <c r="BK92" s="19">
        <f t="shared" si="120"/>
        <v>28454</v>
      </c>
      <c r="BL92" s="19">
        <f t="shared" si="120"/>
        <v>40543.4</v>
      </c>
      <c r="BM92" s="19">
        <f t="shared" si="120"/>
        <v>37440.800000000003</v>
      </c>
      <c r="BN92" s="19">
        <f t="shared" si="120"/>
        <v>40543.415139999997</v>
      </c>
      <c r="BO92" s="19">
        <f t="shared" si="120"/>
        <v>40543.415139999997</v>
      </c>
      <c r="BP92" s="19">
        <f t="shared" si="120"/>
        <v>22721.1</v>
      </c>
      <c r="BQ92" s="19">
        <f>BQ95</f>
        <v>10654.4</v>
      </c>
      <c r="BR92" s="19">
        <f>BR95</f>
        <v>8382.1</v>
      </c>
      <c r="BS92" s="19">
        <f>BS95</f>
        <v>23632.3</v>
      </c>
      <c r="BT92" s="19">
        <f>BT95</f>
        <v>37848.9</v>
      </c>
      <c r="BU92" s="19">
        <f>BU95</f>
        <v>39375.1</v>
      </c>
      <c r="BV92" s="23">
        <f t="shared" si="95"/>
        <v>95.937841477498552</v>
      </c>
      <c r="BW92" s="19">
        <f>BW95</f>
        <v>18447.3</v>
      </c>
      <c r="BX92" s="23">
        <f t="shared" si="96"/>
        <v>46.850166729735285</v>
      </c>
      <c r="BY92" s="19">
        <f>BY95</f>
        <v>39375.1</v>
      </c>
      <c r="BZ92" s="23">
        <f t="shared" si="91"/>
        <v>97.118360315810335</v>
      </c>
      <c r="CA92" s="19">
        <f t="shared" ref="CA92" si="121">CA95</f>
        <v>15030.9</v>
      </c>
      <c r="CB92" s="23">
        <f t="shared" si="97"/>
        <v>38.173617336844863</v>
      </c>
      <c r="CC92" s="23">
        <f t="shared" si="93"/>
        <v>141.07692596485958</v>
      </c>
      <c r="CD92" s="19">
        <f>CD95</f>
        <v>12150.4</v>
      </c>
      <c r="CE92" s="23">
        <f t="shared" si="98"/>
        <v>80.836144209594892</v>
      </c>
      <c r="CF92" s="23">
        <f t="shared" si="94"/>
        <v>144.95651447727894</v>
      </c>
      <c r="CG92" s="19">
        <f>CG95</f>
        <v>11703.5</v>
      </c>
      <c r="CH92" s="23">
        <f t="shared" si="80"/>
        <v>96.321931788253892</v>
      </c>
    </row>
    <row r="93" spans="1:86" ht="22.5" hidden="1" customHeight="1" x14ac:dyDescent="0.25">
      <c r="A93" s="9" t="s">
        <v>234</v>
      </c>
      <c r="B93" s="38" t="s">
        <v>235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>
        <v>4220.3999999999996</v>
      </c>
      <c r="P93" s="19">
        <v>4220.4380000000001</v>
      </c>
      <c r="Q93" s="19">
        <v>4220.4380000000001</v>
      </c>
      <c r="R93" s="19"/>
      <c r="S93" s="19"/>
      <c r="T93" s="19"/>
      <c r="U93" s="23"/>
      <c r="V93" s="19"/>
      <c r="W93" s="19"/>
      <c r="X93" s="19"/>
      <c r="Y93" s="23"/>
      <c r="Z93" s="19"/>
      <c r="AA93" s="19"/>
      <c r="AB93" s="19"/>
      <c r="AC93" s="23"/>
      <c r="AD93" s="19"/>
      <c r="AE93" s="19"/>
      <c r="AF93" s="19"/>
      <c r="AG93" s="23"/>
      <c r="AH93" s="19"/>
      <c r="AI93" s="19"/>
      <c r="AJ93" s="19"/>
      <c r="AK93" s="19"/>
      <c r="AL93" s="19"/>
      <c r="AM93" s="23"/>
      <c r="AN93" s="19"/>
      <c r="AO93" s="19"/>
      <c r="AP93" s="19"/>
      <c r="AQ93" s="19"/>
      <c r="AR93" s="19"/>
      <c r="AS93" s="19"/>
      <c r="AT93" s="19"/>
      <c r="AU93" s="19"/>
      <c r="AV93" s="19"/>
      <c r="AW93" s="23"/>
      <c r="AX93" s="19"/>
      <c r="AY93" s="19"/>
      <c r="AZ93" s="19"/>
      <c r="BA93" s="19"/>
      <c r="BB93" s="19"/>
      <c r="BC93" s="19"/>
      <c r="BD93" s="19"/>
      <c r="BE93" s="19"/>
      <c r="BF93" s="23"/>
      <c r="BG93" s="19"/>
      <c r="BH93" s="19"/>
      <c r="BI93" s="19"/>
      <c r="BJ93" s="19"/>
      <c r="BK93" s="22"/>
      <c r="BL93" s="19"/>
      <c r="BM93" s="19"/>
      <c r="BN93" s="19"/>
      <c r="BO93" s="19"/>
      <c r="BP93" s="19"/>
      <c r="BQ93" s="19"/>
      <c r="BR93" s="19"/>
      <c r="BS93" s="22"/>
      <c r="BT93" s="19"/>
      <c r="BU93" s="19"/>
      <c r="BV93" s="23" t="e">
        <f t="shared" si="95"/>
        <v>#DIV/0!</v>
      </c>
      <c r="BW93" s="19"/>
      <c r="BX93" s="23" t="e">
        <f t="shared" si="96"/>
        <v>#DIV/0!</v>
      </c>
      <c r="BY93" s="19"/>
      <c r="BZ93" s="23" t="e">
        <f t="shared" si="91"/>
        <v>#DIV/0!</v>
      </c>
      <c r="CA93" s="19"/>
      <c r="CB93" s="23" t="e">
        <f t="shared" si="97"/>
        <v>#DIV/0!</v>
      </c>
      <c r="CC93" s="23" t="e">
        <f t="shared" si="93"/>
        <v>#DIV/0!</v>
      </c>
      <c r="CD93" s="19"/>
      <c r="CE93" s="23" t="e">
        <f t="shared" si="98"/>
        <v>#DIV/0!</v>
      </c>
      <c r="CF93" s="23" t="e">
        <f t="shared" si="94"/>
        <v>#DIV/0!</v>
      </c>
      <c r="CG93" s="19"/>
      <c r="CH93" s="23" t="e">
        <f t="shared" si="80"/>
        <v>#DIV/0!</v>
      </c>
    </row>
    <row r="94" spans="1:86" ht="22.5" hidden="1" customHeight="1" x14ac:dyDescent="0.25">
      <c r="A94" s="31" t="s">
        <v>236</v>
      </c>
      <c r="B94" s="32" t="s">
        <v>237</v>
      </c>
      <c r="C94" s="19"/>
      <c r="D94" s="19"/>
      <c r="E94" s="19"/>
      <c r="F94" s="19"/>
      <c r="G94" s="19"/>
      <c r="H94" s="19"/>
      <c r="I94" s="19"/>
      <c r="J94" s="19"/>
      <c r="K94" s="19">
        <v>269.89999999999998</v>
      </c>
      <c r="L94" s="19">
        <v>269.96859000000001</v>
      </c>
      <c r="M94" s="19">
        <v>269.96859000000001</v>
      </c>
      <c r="N94" s="19"/>
      <c r="O94" s="19"/>
      <c r="P94" s="19"/>
      <c r="Q94" s="19">
        <v>0</v>
      </c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22"/>
      <c r="BL94" s="19"/>
      <c r="BM94" s="19"/>
      <c r="BN94" s="19"/>
      <c r="BO94" s="19"/>
      <c r="BP94" s="19"/>
      <c r="BQ94" s="19"/>
      <c r="BR94" s="19"/>
      <c r="BS94" s="22"/>
      <c r="BT94" s="19"/>
      <c r="BU94" s="19"/>
      <c r="BV94" s="23" t="e">
        <f t="shared" si="95"/>
        <v>#DIV/0!</v>
      </c>
      <c r="BW94" s="19"/>
      <c r="BX94" s="23" t="e">
        <f t="shared" si="96"/>
        <v>#DIV/0!</v>
      </c>
      <c r="BY94" s="19"/>
      <c r="BZ94" s="23" t="e">
        <f t="shared" si="91"/>
        <v>#DIV/0!</v>
      </c>
      <c r="CA94" s="19"/>
      <c r="CB94" s="23" t="e">
        <f t="shared" si="97"/>
        <v>#DIV/0!</v>
      </c>
      <c r="CC94" s="23" t="e">
        <f t="shared" si="93"/>
        <v>#DIV/0!</v>
      </c>
      <c r="CD94" s="19"/>
      <c r="CE94" s="23" t="e">
        <f t="shared" si="98"/>
        <v>#DIV/0!</v>
      </c>
      <c r="CF94" s="23" t="e">
        <f t="shared" si="94"/>
        <v>#DIV/0!</v>
      </c>
      <c r="CG94" s="19"/>
      <c r="CH94" s="23" t="e">
        <f t="shared" si="80"/>
        <v>#DIV/0!</v>
      </c>
    </row>
    <row r="95" spans="1:86" s="24" customFormat="1" ht="22.5" hidden="1" customHeight="1" x14ac:dyDescent="0.25">
      <c r="A95" s="9" t="s">
        <v>238</v>
      </c>
      <c r="B95" s="38" t="s">
        <v>239</v>
      </c>
      <c r="C95" s="23">
        <v>3649.0920000000001</v>
      </c>
      <c r="D95" s="23">
        <v>0</v>
      </c>
      <c r="E95" s="23">
        <v>1357.2</v>
      </c>
      <c r="F95" s="23">
        <v>1357.10265</v>
      </c>
      <c r="G95" s="23">
        <v>0</v>
      </c>
      <c r="H95" s="23">
        <v>2097.4</v>
      </c>
      <c r="I95" s="23">
        <v>2095.3605499999999</v>
      </c>
      <c r="J95" s="23">
        <f>1582+1257</f>
        <v>2839</v>
      </c>
      <c r="K95" s="23">
        <f>3519.6+1257</f>
        <v>4776.6000000000004</v>
      </c>
      <c r="L95" s="23">
        <f>3507.02713+1257</f>
        <v>4764.0271300000004</v>
      </c>
      <c r="M95" s="23">
        <v>3507.0271299999999</v>
      </c>
      <c r="N95" s="23">
        <f>1883.7+982.7</f>
        <v>2866.4</v>
      </c>
      <c r="O95" s="23">
        <f>11688.5+982.7</f>
        <v>12671.2</v>
      </c>
      <c r="P95" s="23">
        <f>9910.88957+1386.12808+982.7</f>
        <v>12279.717650000001</v>
      </c>
      <c r="Q95" s="23">
        <f>9910.88957+1386.12808+982.7</f>
        <v>12279.717650000001</v>
      </c>
      <c r="R95" s="23">
        <f>14757.2+831.7</f>
        <v>15588.900000000001</v>
      </c>
      <c r="S95" s="23">
        <f>16750.5+831.7</f>
        <v>17582.2</v>
      </c>
      <c r="T95" s="23">
        <f>16750.45799+831.7</f>
        <v>17582.15799</v>
      </c>
      <c r="U95" s="23">
        <v>16750.457989999999</v>
      </c>
      <c r="V95" s="23">
        <v>3385.5</v>
      </c>
      <c r="W95" s="23">
        <v>24735.200000000001</v>
      </c>
      <c r="X95" s="23">
        <v>24650.823359999999</v>
      </c>
      <c r="Y95" s="23">
        <v>24650.823359999999</v>
      </c>
      <c r="Z95" s="23">
        <v>1378.3</v>
      </c>
      <c r="AA95" s="23">
        <v>5369</v>
      </c>
      <c r="AB95" s="23">
        <v>5368.9667399999998</v>
      </c>
      <c r="AC95" s="23">
        <v>5368.9667399999998</v>
      </c>
      <c r="AD95" s="23">
        <v>3444.3</v>
      </c>
      <c r="AE95" s="23">
        <v>12296.5</v>
      </c>
      <c r="AF95" s="23">
        <v>12296.59355</v>
      </c>
      <c r="AG95" s="23">
        <v>12296.59355</v>
      </c>
      <c r="AH95" s="23">
        <v>6628.5</v>
      </c>
      <c r="AI95" s="23">
        <v>5972.4</v>
      </c>
      <c r="AJ95" s="23">
        <v>5972.4</v>
      </c>
      <c r="AK95" s="23">
        <v>39952.1</v>
      </c>
      <c r="AL95" s="23">
        <v>39952.047599999998</v>
      </c>
      <c r="AM95" s="23">
        <v>39952.047599999998</v>
      </c>
      <c r="AN95" s="23">
        <v>1790.4</v>
      </c>
      <c r="AO95" s="23">
        <v>1790.4</v>
      </c>
      <c r="AP95" s="23">
        <v>1790.4</v>
      </c>
      <c r="AQ95" s="23">
        <v>1790.4</v>
      </c>
      <c r="AR95" s="23">
        <v>1790.4</v>
      </c>
      <c r="AS95" s="23"/>
      <c r="AT95" s="23">
        <v>25075.7</v>
      </c>
      <c r="AU95" s="23">
        <v>31302.7</v>
      </c>
      <c r="AV95" s="23">
        <v>31113.612809999999</v>
      </c>
      <c r="AW95" s="23">
        <v>31113.612809999999</v>
      </c>
      <c r="AX95" s="23">
        <v>21606.3</v>
      </c>
      <c r="AY95" s="23">
        <v>6292.6</v>
      </c>
      <c r="AZ95" s="23">
        <v>5178.3</v>
      </c>
      <c r="BA95" s="23"/>
      <c r="BB95" s="23">
        <v>21608.3</v>
      </c>
      <c r="BC95" s="23">
        <f>SUM(BC96:BC117)</f>
        <v>18194</v>
      </c>
      <c r="BD95" s="23">
        <v>42264.6</v>
      </c>
      <c r="BE95" s="23">
        <v>42260.086860000003</v>
      </c>
      <c r="BF95" s="23">
        <v>42260.086860000003</v>
      </c>
      <c r="BG95" s="23">
        <v>17031.5</v>
      </c>
      <c r="BH95" s="23">
        <v>9154.7000000000007</v>
      </c>
      <c r="BI95" s="23">
        <v>8547.5</v>
      </c>
      <c r="BJ95" s="23">
        <v>18815.400000000001</v>
      </c>
      <c r="BK95" s="26">
        <v>28454</v>
      </c>
      <c r="BL95" s="23">
        <v>40543.4</v>
      </c>
      <c r="BM95" s="23">
        <v>37440.800000000003</v>
      </c>
      <c r="BN95" s="23">
        <v>40543.415139999997</v>
      </c>
      <c r="BO95" s="23">
        <v>40543.415139999997</v>
      </c>
      <c r="BP95" s="23">
        <v>22721.1</v>
      </c>
      <c r="BQ95" s="23">
        <v>10654.4</v>
      </c>
      <c r="BR95" s="23">
        <v>8382.1</v>
      </c>
      <c r="BS95" s="26">
        <v>23632.3</v>
      </c>
      <c r="BT95" s="23">
        <v>37848.9</v>
      </c>
      <c r="BU95" s="23">
        <v>39375.1</v>
      </c>
      <c r="BV95" s="23">
        <f t="shared" si="95"/>
        <v>95.937841477498552</v>
      </c>
      <c r="BW95" s="23">
        <v>18447.3</v>
      </c>
      <c r="BX95" s="23">
        <f t="shared" si="96"/>
        <v>46.850166729735285</v>
      </c>
      <c r="BY95" s="23">
        <v>39375.1</v>
      </c>
      <c r="BZ95" s="23">
        <f t="shared" si="91"/>
        <v>97.118360315810335</v>
      </c>
      <c r="CA95" s="23">
        <v>15030.9</v>
      </c>
      <c r="CB95" s="23">
        <f t="shared" si="97"/>
        <v>38.173617336844863</v>
      </c>
      <c r="CC95" s="23">
        <f t="shared" si="93"/>
        <v>141.07692596485958</v>
      </c>
      <c r="CD95" s="23">
        <v>12150.4</v>
      </c>
      <c r="CE95" s="23">
        <f t="shared" si="98"/>
        <v>80.836144209594892</v>
      </c>
      <c r="CF95" s="23">
        <f t="shared" si="94"/>
        <v>144.95651447727894</v>
      </c>
      <c r="CG95" s="23">
        <v>11703.5</v>
      </c>
      <c r="CH95" s="23">
        <f t="shared" si="80"/>
        <v>96.321931788253892</v>
      </c>
    </row>
    <row r="96" spans="1:86" ht="21" hidden="1" customHeight="1" x14ac:dyDescent="0.25">
      <c r="A96" s="9"/>
      <c r="B96" s="38" t="s">
        <v>240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>
        <v>3109.3</v>
      </c>
      <c r="P96" s="23">
        <v>2717.9247300000002</v>
      </c>
      <c r="Q96" s="23">
        <v>2717.9247300000002</v>
      </c>
      <c r="R96" s="23">
        <v>2612</v>
      </c>
      <c r="S96" s="23">
        <v>3003.4</v>
      </c>
      <c r="T96" s="23">
        <v>3003.4</v>
      </c>
      <c r="U96" s="23"/>
      <c r="V96" s="23">
        <v>969.4</v>
      </c>
      <c r="W96" s="23">
        <v>969.4</v>
      </c>
      <c r="X96" s="23">
        <v>969.39994999999999</v>
      </c>
      <c r="Y96" s="23"/>
      <c r="Z96" s="23">
        <v>1200.3</v>
      </c>
      <c r="AA96" s="23">
        <v>1200.3</v>
      </c>
      <c r="AB96" s="23">
        <v>1200.325</v>
      </c>
      <c r="AC96" s="23"/>
      <c r="AD96" s="23">
        <f>1082.1+2300</f>
        <v>3382.1</v>
      </c>
      <c r="AE96" s="23">
        <f>1082.1+2300</f>
        <v>3382.1</v>
      </c>
      <c r="AF96" s="23">
        <f>1082.1+2300</f>
        <v>3382.1</v>
      </c>
      <c r="AG96" s="23"/>
      <c r="AH96" s="23">
        <v>5150</v>
      </c>
      <c r="AI96" s="23">
        <v>5150</v>
      </c>
      <c r="AJ96" s="23">
        <v>5150</v>
      </c>
      <c r="AK96" s="23">
        <v>5150</v>
      </c>
      <c r="AL96" s="23">
        <v>5150</v>
      </c>
      <c r="AM96" s="23"/>
      <c r="AN96" s="23">
        <v>1150</v>
      </c>
      <c r="AO96" s="23">
        <v>1150</v>
      </c>
      <c r="AP96" s="23">
        <v>1150</v>
      </c>
      <c r="AQ96" s="23">
        <v>1150</v>
      </c>
      <c r="AR96" s="23">
        <f>1150+664.2</f>
        <v>1814.2</v>
      </c>
      <c r="AS96" s="41">
        <f>1150+426.6</f>
        <v>1576.6</v>
      </c>
      <c r="AT96" s="23">
        <f>1150+583.7</f>
        <v>1733.7</v>
      </c>
      <c r="AU96" s="23">
        <f>1150+583.7</f>
        <v>1733.7</v>
      </c>
      <c r="AV96" s="23">
        <f>1150+583.7</f>
        <v>1733.7</v>
      </c>
      <c r="AW96" s="23"/>
      <c r="AX96" s="23">
        <f>2010</f>
        <v>2010</v>
      </c>
      <c r="AY96" s="23">
        <v>1150</v>
      </c>
      <c r="AZ96" s="23">
        <v>1150</v>
      </c>
      <c r="BA96" s="23">
        <f>2010</f>
        <v>2010</v>
      </c>
      <c r="BB96" s="23">
        <f>2010</f>
        <v>2010</v>
      </c>
      <c r="BC96" s="23">
        <v>5839.6</v>
      </c>
      <c r="BD96" s="23">
        <v>5839.6</v>
      </c>
      <c r="BE96" s="23">
        <v>5839.6</v>
      </c>
      <c r="BF96" s="23"/>
      <c r="BG96" s="23">
        <v>1150</v>
      </c>
      <c r="BH96" s="23">
        <v>1150</v>
      </c>
      <c r="BI96" s="23">
        <v>1150</v>
      </c>
      <c r="BJ96" s="19">
        <v>1150</v>
      </c>
      <c r="BK96" s="22">
        <v>1150</v>
      </c>
      <c r="BL96" s="23">
        <v>1150</v>
      </c>
      <c r="BM96" s="23">
        <v>1150</v>
      </c>
      <c r="BN96" s="23">
        <v>1150</v>
      </c>
      <c r="BO96" s="23"/>
      <c r="BP96" s="23">
        <v>1150</v>
      </c>
      <c r="BQ96" s="23">
        <v>1150</v>
      </c>
      <c r="BR96" s="23">
        <v>1150</v>
      </c>
      <c r="BS96" s="22">
        <v>1150</v>
      </c>
      <c r="BT96" s="23">
        <v>1150</v>
      </c>
      <c r="BU96" s="23">
        <v>2210</v>
      </c>
      <c r="BV96" s="23">
        <f t="shared" si="95"/>
        <v>19.693129666415508</v>
      </c>
      <c r="BW96" s="23">
        <v>2210</v>
      </c>
      <c r="BX96" s="23">
        <f t="shared" si="96"/>
        <v>100</v>
      </c>
      <c r="BY96" s="23">
        <v>2210</v>
      </c>
      <c r="BZ96" s="23">
        <f t="shared" si="91"/>
        <v>192.17391304347825</v>
      </c>
      <c r="CA96" s="23"/>
      <c r="CB96" s="23">
        <f t="shared" si="97"/>
        <v>0</v>
      </c>
      <c r="CC96" s="23">
        <f t="shared" si="93"/>
        <v>0</v>
      </c>
      <c r="CD96" s="23"/>
      <c r="CE96" s="23" t="e">
        <f t="shared" si="98"/>
        <v>#DIV/0!</v>
      </c>
      <c r="CF96" s="23">
        <f t="shared" si="94"/>
        <v>0</v>
      </c>
      <c r="CG96" s="23"/>
      <c r="CH96" s="23" t="e">
        <f t="shared" si="80"/>
        <v>#DIV/0!</v>
      </c>
    </row>
    <row r="97" spans="1:86" ht="20.25" hidden="1" customHeight="1" x14ac:dyDescent="0.25">
      <c r="A97" s="9"/>
      <c r="B97" s="38" t="s">
        <v>241</v>
      </c>
      <c r="C97" s="23"/>
      <c r="D97" s="23"/>
      <c r="E97" s="23">
        <v>1163.4000000000001</v>
      </c>
      <c r="F97" s="23">
        <v>1163.4437499999999</v>
      </c>
      <c r="G97" s="23"/>
      <c r="H97" s="23">
        <f>1946.4+26</f>
        <v>1972.4</v>
      </c>
      <c r="I97" s="23">
        <v>1972.3605500000001</v>
      </c>
      <c r="J97" s="23"/>
      <c r="K97" s="23">
        <v>1174.7</v>
      </c>
      <c r="L97" s="23">
        <v>1174.7375300000001</v>
      </c>
      <c r="M97" s="23">
        <v>1972.3605500000001</v>
      </c>
      <c r="N97" s="23"/>
      <c r="O97" s="23">
        <v>1036.5</v>
      </c>
      <c r="P97" s="23">
        <v>1036.2481499999999</v>
      </c>
      <c r="Q97" s="23">
        <v>1036.2481499999999</v>
      </c>
      <c r="R97" s="23"/>
      <c r="S97" s="23">
        <v>1071.9000000000001</v>
      </c>
      <c r="T97" s="23">
        <v>1071.9000000000001</v>
      </c>
      <c r="U97" s="23"/>
      <c r="V97" s="23"/>
      <c r="W97" s="23">
        <v>848.6</v>
      </c>
      <c r="X97" s="23">
        <v>848.61590000000001</v>
      </c>
      <c r="Y97" s="23"/>
      <c r="Z97" s="23"/>
      <c r="AA97" s="23">
        <v>916.8</v>
      </c>
      <c r="AB97" s="23">
        <v>916.75594999999998</v>
      </c>
      <c r="AC97" s="23"/>
      <c r="AD97" s="23"/>
      <c r="AE97" s="23">
        <f>700.6+1369.8</f>
        <v>2070.4</v>
      </c>
      <c r="AF97" s="23">
        <f>700.64605+1369.843</f>
        <v>2070.4890500000001</v>
      </c>
      <c r="AG97" s="23"/>
      <c r="AH97" s="23">
        <v>426.3</v>
      </c>
      <c r="AI97" s="23">
        <v>426.3</v>
      </c>
      <c r="AJ97" s="23">
        <v>426.3</v>
      </c>
      <c r="AK97" s="23">
        <v>2743</v>
      </c>
      <c r="AL97" s="23">
        <v>2742.98515</v>
      </c>
      <c r="AM97" s="23"/>
      <c r="AN97" s="23">
        <v>334.1</v>
      </c>
      <c r="AO97" s="23">
        <v>334.1</v>
      </c>
      <c r="AP97" s="23">
        <v>334.1</v>
      </c>
      <c r="AQ97" s="23">
        <v>334.1</v>
      </c>
      <c r="AR97" s="23">
        <v>334.1</v>
      </c>
      <c r="AS97" s="23"/>
      <c r="AT97" s="23">
        <f>1443.8+1123.1</f>
        <v>2566.8999999999996</v>
      </c>
      <c r="AU97" s="23">
        <f>1710.4+1665.6</f>
        <v>3376</v>
      </c>
      <c r="AV97" s="23">
        <f>1710.4+1476.4</f>
        <v>3186.8</v>
      </c>
      <c r="AW97" s="23"/>
      <c r="AX97" s="23">
        <v>723.2</v>
      </c>
      <c r="AY97" s="23">
        <v>0</v>
      </c>
      <c r="AZ97" s="23">
        <v>0</v>
      </c>
      <c r="BA97" s="23">
        <v>723.2</v>
      </c>
      <c r="BB97" s="23">
        <v>723.2</v>
      </c>
      <c r="BC97" s="23">
        <f>1038.9+1773.8</f>
        <v>2812.7</v>
      </c>
      <c r="BD97" s="23">
        <f>1038.9+1773.8</f>
        <v>2812.7</v>
      </c>
      <c r="BE97" s="23">
        <f>1375.9+1553.9</f>
        <v>2929.8</v>
      </c>
      <c r="BF97" s="23"/>
      <c r="BG97" s="23">
        <v>1052.0999999999999</v>
      </c>
      <c r="BH97" s="23">
        <v>0</v>
      </c>
      <c r="BI97" s="23">
        <v>0</v>
      </c>
      <c r="BJ97" s="19">
        <v>1236.0999999999999</v>
      </c>
      <c r="BK97" s="22">
        <v>2094.4</v>
      </c>
      <c r="BL97" s="23">
        <f>1390.1+1929</f>
        <v>3319.1</v>
      </c>
      <c r="BM97" s="23"/>
      <c r="BN97" s="23">
        <f>1929.0165+1390.1595</f>
        <v>3319.1759999999999</v>
      </c>
      <c r="BO97" s="23"/>
      <c r="BP97" s="23">
        <v>1275.9000000000001</v>
      </c>
      <c r="BQ97" s="23">
        <v>0</v>
      </c>
      <c r="BR97" s="23">
        <v>0</v>
      </c>
      <c r="BS97" s="22">
        <v>1311.1</v>
      </c>
      <c r="BT97" s="23">
        <v>2583.9</v>
      </c>
      <c r="BU97" s="23">
        <v>3162.4</v>
      </c>
      <c r="BV97" s="23">
        <f t="shared" si="95"/>
        <v>113.29019045668645</v>
      </c>
      <c r="BW97" s="23">
        <f>691.9+1774.6</f>
        <v>2466.5</v>
      </c>
      <c r="BX97" s="23">
        <f t="shared" si="96"/>
        <v>77.994561092840868</v>
      </c>
      <c r="BY97" s="23">
        <v>3162.4</v>
      </c>
      <c r="BZ97" s="23">
        <f t="shared" si="91"/>
        <v>95.276659026216151</v>
      </c>
      <c r="CA97" s="23">
        <v>1827</v>
      </c>
      <c r="CB97" s="23">
        <f t="shared" si="97"/>
        <v>57.772577789020993</v>
      </c>
      <c r="CC97" s="23" t="e">
        <f t="shared" si="93"/>
        <v>#DIV/0!</v>
      </c>
      <c r="CD97" s="23">
        <v>0</v>
      </c>
      <c r="CE97" s="23">
        <f t="shared" si="98"/>
        <v>0</v>
      </c>
      <c r="CF97" s="23" t="e">
        <f t="shared" si="94"/>
        <v>#DIV/0!</v>
      </c>
      <c r="CG97" s="23">
        <v>0</v>
      </c>
      <c r="CH97" s="23" t="e">
        <f t="shared" si="80"/>
        <v>#DIV/0!</v>
      </c>
    </row>
    <row r="98" spans="1:86" ht="21" hidden="1" customHeight="1" x14ac:dyDescent="0.25">
      <c r="A98" s="9"/>
      <c r="B98" s="38" t="s">
        <v>242</v>
      </c>
      <c r="C98" s="23"/>
      <c r="D98" s="23"/>
      <c r="E98" s="23">
        <v>68.7</v>
      </c>
      <c r="F98" s="23">
        <v>24.9999</v>
      </c>
      <c r="G98" s="23"/>
      <c r="H98" s="23">
        <v>25</v>
      </c>
      <c r="I98" s="23">
        <v>25</v>
      </c>
      <c r="J98" s="23">
        <v>25</v>
      </c>
      <c r="K98" s="23">
        <v>25</v>
      </c>
      <c r="L98" s="23">
        <v>25</v>
      </c>
      <c r="M98" s="23">
        <v>25</v>
      </c>
      <c r="N98" s="23">
        <v>25</v>
      </c>
      <c r="O98" s="23">
        <v>25</v>
      </c>
      <c r="P98" s="23">
        <v>25</v>
      </c>
      <c r="Q98" s="23">
        <v>25</v>
      </c>
      <c r="R98" s="23">
        <v>25</v>
      </c>
      <c r="S98" s="23">
        <v>25</v>
      </c>
      <c r="T98" s="23">
        <v>25</v>
      </c>
      <c r="U98" s="23"/>
      <c r="V98" s="23">
        <v>25</v>
      </c>
      <c r="W98" s="23">
        <v>25</v>
      </c>
      <c r="X98" s="23">
        <v>25</v>
      </c>
      <c r="Y98" s="23"/>
      <c r="Z98" s="23">
        <v>25</v>
      </c>
      <c r="AA98" s="23">
        <v>25</v>
      </c>
      <c r="AB98" s="23">
        <v>25</v>
      </c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19"/>
      <c r="BK98" s="22"/>
      <c r="BL98" s="23"/>
      <c r="BM98" s="23"/>
      <c r="BN98" s="23"/>
      <c r="BO98" s="23"/>
      <c r="BP98" s="23"/>
      <c r="BQ98" s="23"/>
      <c r="BR98" s="23"/>
      <c r="BS98" s="22"/>
      <c r="BT98" s="23"/>
      <c r="BU98" s="23"/>
      <c r="BV98" s="23" t="e">
        <f t="shared" si="95"/>
        <v>#DIV/0!</v>
      </c>
      <c r="BW98" s="23"/>
      <c r="BX98" s="23" t="e">
        <f t="shared" si="96"/>
        <v>#DIV/0!</v>
      </c>
      <c r="BY98" s="23"/>
      <c r="BZ98" s="23" t="e">
        <f t="shared" si="91"/>
        <v>#DIV/0!</v>
      </c>
      <c r="CA98" s="23"/>
      <c r="CB98" s="23" t="e">
        <f t="shared" si="97"/>
        <v>#DIV/0!</v>
      </c>
      <c r="CC98" s="23" t="e">
        <f t="shared" si="93"/>
        <v>#DIV/0!</v>
      </c>
      <c r="CD98" s="23"/>
      <c r="CE98" s="23" t="e">
        <f t="shared" si="98"/>
        <v>#DIV/0!</v>
      </c>
      <c r="CF98" s="23" t="e">
        <f t="shared" si="94"/>
        <v>#DIV/0!</v>
      </c>
      <c r="CG98" s="23"/>
      <c r="CH98" s="23" t="e">
        <f t="shared" si="80"/>
        <v>#DIV/0!</v>
      </c>
    </row>
    <row r="99" spans="1:86" ht="21" hidden="1" customHeight="1" x14ac:dyDescent="0.25">
      <c r="A99" s="9"/>
      <c r="B99" s="38" t="s">
        <v>243</v>
      </c>
      <c r="C99" s="23"/>
      <c r="D99" s="23"/>
      <c r="E99" s="23">
        <v>100</v>
      </c>
      <c r="F99" s="23"/>
      <c r="G99" s="23"/>
      <c r="H99" s="23"/>
      <c r="I99" s="23"/>
      <c r="J99" s="23"/>
      <c r="K99" s="23">
        <v>13</v>
      </c>
      <c r="L99" s="23">
        <v>13</v>
      </c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>
        <v>40</v>
      </c>
      <c r="X99" s="23">
        <v>40</v>
      </c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>
        <v>321.5</v>
      </c>
      <c r="AU99" s="23">
        <v>321.5</v>
      </c>
      <c r="AV99" s="23">
        <v>321.5</v>
      </c>
      <c r="AW99" s="23"/>
      <c r="AX99" s="23">
        <v>355</v>
      </c>
      <c r="AY99" s="23">
        <v>355</v>
      </c>
      <c r="AZ99" s="23">
        <v>355</v>
      </c>
      <c r="BA99" s="23">
        <v>355</v>
      </c>
      <c r="BB99" s="23">
        <v>355</v>
      </c>
      <c r="BC99" s="23">
        <v>355</v>
      </c>
      <c r="BD99" s="23">
        <v>355</v>
      </c>
      <c r="BE99" s="23">
        <v>355</v>
      </c>
      <c r="BF99" s="23"/>
      <c r="BG99" s="23">
        <v>355</v>
      </c>
      <c r="BH99" s="23">
        <v>355</v>
      </c>
      <c r="BI99" s="23">
        <v>355</v>
      </c>
      <c r="BJ99" s="19">
        <v>355</v>
      </c>
      <c r="BK99" s="22">
        <v>401</v>
      </c>
      <c r="BL99" s="23">
        <f>355+46</f>
        <v>401</v>
      </c>
      <c r="BM99" s="23"/>
      <c r="BN99" s="23">
        <f>355+46</f>
        <v>401</v>
      </c>
      <c r="BO99" s="23"/>
      <c r="BP99" s="23">
        <v>374</v>
      </c>
      <c r="BQ99" s="23">
        <v>374</v>
      </c>
      <c r="BR99" s="23">
        <v>374</v>
      </c>
      <c r="BS99" s="22">
        <v>374</v>
      </c>
      <c r="BT99" s="23">
        <v>374</v>
      </c>
      <c r="BU99" s="23">
        <v>374</v>
      </c>
      <c r="BV99" s="23">
        <f t="shared" si="95"/>
        <v>112.95774647887325</v>
      </c>
      <c r="BW99" s="23">
        <v>374</v>
      </c>
      <c r="BX99" s="23">
        <f t="shared" si="96"/>
        <v>100</v>
      </c>
      <c r="BY99" s="23">
        <v>374</v>
      </c>
      <c r="BZ99" s="23">
        <f t="shared" si="91"/>
        <v>93.266832917705727</v>
      </c>
      <c r="CA99" s="23">
        <v>368.5</v>
      </c>
      <c r="CB99" s="23">
        <f t="shared" si="97"/>
        <v>98.529411764705884</v>
      </c>
      <c r="CC99" s="23">
        <f t="shared" si="93"/>
        <v>98.529411764705884</v>
      </c>
      <c r="CD99" s="23">
        <v>368.5</v>
      </c>
      <c r="CE99" s="23">
        <f t="shared" si="98"/>
        <v>100</v>
      </c>
      <c r="CF99" s="23">
        <f t="shared" si="94"/>
        <v>98.529411764705884</v>
      </c>
      <c r="CG99" s="23">
        <v>368.5</v>
      </c>
      <c r="CH99" s="23">
        <f t="shared" si="80"/>
        <v>100</v>
      </c>
    </row>
    <row r="100" spans="1:86" ht="21" hidden="1" customHeight="1" x14ac:dyDescent="0.25">
      <c r="A100" s="9"/>
      <c r="B100" s="37" t="s">
        <v>244</v>
      </c>
      <c r="C100" s="23"/>
      <c r="D100" s="23"/>
      <c r="E100" s="23"/>
      <c r="F100" s="23"/>
      <c r="G100" s="23"/>
      <c r="H100" s="23">
        <v>100</v>
      </c>
      <c r="I100" s="23">
        <v>98</v>
      </c>
      <c r="J100" s="23"/>
      <c r="K100" s="23">
        <f>99+690.8</f>
        <v>789.8</v>
      </c>
      <c r="L100" s="23">
        <f>690.82+99</f>
        <v>789.82</v>
      </c>
      <c r="M100" s="23"/>
      <c r="N100" s="23"/>
      <c r="O100" s="23">
        <v>3691</v>
      </c>
      <c r="P100" s="23">
        <v>3690.9980999999998</v>
      </c>
      <c r="Q100" s="23">
        <v>3690.9980999999998</v>
      </c>
      <c r="R100" s="23">
        <v>7007.5</v>
      </c>
      <c r="S100" s="23">
        <v>7007.5</v>
      </c>
      <c r="T100" s="23">
        <v>7007.5</v>
      </c>
      <c r="U100" s="23"/>
      <c r="V100" s="23">
        <v>2010.1</v>
      </c>
      <c r="W100" s="23">
        <v>22682.7</v>
      </c>
      <c r="X100" s="23">
        <v>22598.275020000001</v>
      </c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>
        <f>4437+1809+1935.1</f>
        <v>8181.1</v>
      </c>
      <c r="AL100" s="23">
        <f>4437+3744.07595</f>
        <v>8181.0759500000004</v>
      </c>
      <c r="AM100" s="23"/>
      <c r="AN100" s="23">
        <v>221</v>
      </c>
      <c r="AO100" s="23">
        <v>221</v>
      </c>
      <c r="AP100" s="23">
        <v>221</v>
      </c>
      <c r="AQ100" s="23">
        <v>221</v>
      </c>
      <c r="AR100" s="23">
        <v>221</v>
      </c>
      <c r="AS100" s="23"/>
      <c r="AT100" s="23">
        <f>221+2025+2151.2</f>
        <v>4397.2</v>
      </c>
      <c r="AU100" s="23">
        <f>221+1962.9+2151.2</f>
        <v>4335.1000000000004</v>
      </c>
      <c r="AV100" s="23">
        <f>221+1962.9+2151.2</f>
        <v>4335.1000000000004</v>
      </c>
      <c r="AW100" s="23"/>
      <c r="AX100" s="23">
        <f>221+2000</f>
        <v>2221</v>
      </c>
      <c r="AY100" s="23">
        <v>221</v>
      </c>
      <c r="AZ100" s="23">
        <v>221</v>
      </c>
      <c r="BA100" s="23">
        <f t="shared" ref="BA100:BB100" si="122">221+2000</f>
        <v>2221</v>
      </c>
      <c r="BB100" s="23">
        <f t="shared" si="122"/>
        <v>2221</v>
      </c>
      <c r="BC100" s="23">
        <f>1260+3000+1300+2000+221</f>
        <v>7781</v>
      </c>
      <c r="BD100" s="23">
        <f>1260+3000+1300+2000+221</f>
        <v>7781</v>
      </c>
      <c r="BE100" s="23">
        <f>1260+3900+1300+2000+221</f>
        <v>8681</v>
      </c>
      <c r="BF100" s="23"/>
      <c r="BG100" s="23">
        <v>3879</v>
      </c>
      <c r="BH100" s="23">
        <v>3879</v>
      </c>
      <c r="BI100" s="23">
        <v>3879</v>
      </c>
      <c r="BJ100" s="19">
        <f>221+3658+400</f>
        <v>4279</v>
      </c>
      <c r="BK100" s="22">
        <f>221+3658+400</f>
        <v>4279</v>
      </c>
      <c r="BL100" s="23">
        <f>221+3658+350+250+339.9</f>
        <v>4818.8999999999996</v>
      </c>
      <c r="BM100" s="23"/>
      <c r="BN100" s="23">
        <f>221+3658+350+250+339.96</f>
        <v>4818.96</v>
      </c>
      <c r="BO100" s="23"/>
      <c r="BP100" s="23">
        <v>6239.9</v>
      </c>
      <c r="BQ100" s="23">
        <v>1123</v>
      </c>
      <c r="BR100" s="23">
        <v>1123</v>
      </c>
      <c r="BS100" s="22">
        <v>7019.9</v>
      </c>
      <c r="BT100" s="23">
        <f>221+902+5116.9+780</f>
        <v>7019.9</v>
      </c>
      <c r="BU100" s="23">
        <v>3340.1</v>
      </c>
      <c r="BV100" s="23">
        <f t="shared" si="95"/>
        <v>55.51157700725723</v>
      </c>
      <c r="BW100" s="23">
        <f>221+1079.1</f>
        <v>1300.0999999999999</v>
      </c>
      <c r="BX100" s="23">
        <f t="shared" si="96"/>
        <v>38.923984311846951</v>
      </c>
      <c r="BY100" s="23">
        <v>3340.1</v>
      </c>
      <c r="BZ100" s="23">
        <f t="shared" si="91"/>
        <v>69.311635705629428</v>
      </c>
      <c r="CA100" s="23">
        <v>902</v>
      </c>
      <c r="CB100" s="23">
        <f t="shared" si="97"/>
        <v>27.005179485644142</v>
      </c>
      <c r="CC100" s="23">
        <f t="shared" si="93"/>
        <v>80.320569902048092</v>
      </c>
      <c r="CD100" s="23">
        <v>902</v>
      </c>
      <c r="CE100" s="23">
        <f t="shared" si="98"/>
        <v>100</v>
      </c>
      <c r="CF100" s="23">
        <f t="shared" si="94"/>
        <v>80.320569902048092</v>
      </c>
      <c r="CG100" s="23">
        <v>902</v>
      </c>
      <c r="CH100" s="23">
        <f t="shared" si="80"/>
        <v>100</v>
      </c>
    </row>
    <row r="101" spans="1:86" ht="21" hidden="1" customHeight="1" x14ac:dyDescent="0.25">
      <c r="A101" s="9"/>
      <c r="B101" s="37" t="s">
        <v>245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>
        <v>330</v>
      </c>
      <c r="T101" s="23">
        <v>330</v>
      </c>
      <c r="U101" s="23"/>
      <c r="V101" s="23"/>
      <c r="W101" s="23"/>
      <c r="X101" s="23"/>
      <c r="Y101" s="23"/>
      <c r="Z101" s="23"/>
      <c r="AA101" s="23">
        <f>2325.8+25.6+300</f>
        <v>2651.4</v>
      </c>
      <c r="AB101" s="23">
        <f>2325.76689+25.6189+300</f>
        <v>2651.3857899999998</v>
      </c>
      <c r="AC101" s="23"/>
      <c r="AD101" s="23"/>
      <c r="AE101" s="23">
        <f>100+1399.2+155.5</f>
        <v>1654.7</v>
      </c>
      <c r="AF101" s="23">
        <f>100+1399.21875+155.46875</f>
        <v>1654.6875</v>
      </c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>
        <v>675</v>
      </c>
      <c r="BH101" s="23">
        <v>675</v>
      </c>
      <c r="BI101" s="23">
        <v>675</v>
      </c>
      <c r="BJ101" s="19">
        <v>675</v>
      </c>
      <c r="BK101" s="22">
        <v>675</v>
      </c>
      <c r="BL101" s="23">
        <v>589.79999999999995</v>
      </c>
      <c r="BM101" s="23"/>
      <c r="BN101" s="23">
        <v>589.86239999999998</v>
      </c>
      <c r="BO101" s="23"/>
      <c r="BP101" s="23">
        <v>840</v>
      </c>
      <c r="BQ101" s="23">
        <v>840</v>
      </c>
      <c r="BR101" s="23">
        <v>840</v>
      </c>
      <c r="BS101" s="22">
        <v>840</v>
      </c>
      <c r="BT101" s="23">
        <v>840</v>
      </c>
      <c r="BU101" s="23">
        <v>840</v>
      </c>
      <c r="BV101" s="23" t="e">
        <f t="shared" si="95"/>
        <v>#DIV/0!</v>
      </c>
      <c r="BW101" s="23"/>
      <c r="BX101" s="23">
        <f t="shared" si="96"/>
        <v>0</v>
      </c>
      <c r="BY101" s="23">
        <v>840</v>
      </c>
      <c r="BZ101" s="23">
        <f t="shared" si="91"/>
        <v>142.40609335329734</v>
      </c>
      <c r="CA101" s="23">
        <v>840</v>
      </c>
      <c r="CB101" s="23">
        <f t="shared" si="97"/>
        <v>100</v>
      </c>
      <c r="CC101" s="23">
        <f t="shared" si="93"/>
        <v>100</v>
      </c>
      <c r="CD101" s="23">
        <v>840</v>
      </c>
      <c r="CE101" s="23">
        <f t="shared" si="98"/>
        <v>100</v>
      </c>
      <c r="CF101" s="23">
        <f t="shared" si="94"/>
        <v>100</v>
      </c>
      <c r="CG101" s="23">
        <v>840</v>
      </c>
      <c r="CH101" s="23">
        <f t="shared" si="80"/>
        <v>100</v>
      </c>
    </row>
    <row r="102" spans="1:86" ht="21" hidden="1" customHeight="1" x14ac:dyDescent="0.25">
      <c r="A102" s="9"/>
      <c r="B102" s="37" t="s">
        <v>246</v>
      </c>
      <c r="C102" s="23"/>
      <c r="D102" s="23"/>
      <c r="E102" s="23">
        <v>25</v>
      </c>
      <c r="F102" s="23">
        <v>100</v>
      </c>
      <c r="G102" s="23"/>
      <c r="H102" s="23"/>
      <c r="I102" s="23"/>
      <c r="J102" s="23">
        <v>300</v>
      </c>
      <c r="K102" s="23">
        <v>0</v>
      </c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>
        <v>22.5</v>
      </c>
      <c r="AB102" s="23">
        <v>22.5</v>
      </c>
      <c r="AC102" s="23"/>
      <c r="AD102" s="23"/>
      <c r="AE102" s="23"/>
      <c r="AF102" s="23"/>
      <c r="AG102" s="23"/>
      <c r="AH102" s="23">
        <v>737.6</v>
      </c>
      <c r="AI102" s="23">
        <v>221</v>
      </c>
      <c r="AJ102" s="23">
        <v>221</v>
      </c>
      <c r="AK102" s="23">
        <f>1936.5+158</f>
        <v>2094.5</v>
      </c>
      <c r="AL102" s="23">
        <f>1936.5015+158</f>
        <v>2094.5015000000003</v>
      </c>
      <c r="AM102" s="23"/>
      <c r="AN102" s="23"/>
      <c r="AO102" s="23"/>
      <c r="AP102" s="23"/>
      <c r="AQ102" s="23"/>
      <c r="AR102" s="23"/>
      <c r="AS102" s="23"/>
      <c r="AT102" s="23">
        <f>27.1+996.3+35</f>
        <v>1058.4000000000001</v>
      </c>
      <c r="AU102" s="23">
        <f>27.1+996.3+35</f>
        <v>1058.4000000000001</v>
      </c>
      <c r="AV102" s="23">
        <f>35+996.3+27.1</f>
        <v>1058.3999999999999</v>
      </c>
      <c r="AW102" s="23"/>
      <c r="AX102" s="23"/>
      <c r="AY102" s="23"/>
      <c r="AZ102" s="23"/>
      <c r="BA102" s="23"/>
      <c r="BB102" s="23"/>
      <c r="BC102" s="23">
        <v>295</v>
      </c>
      <c r="BD102" s="23">
        <v>295</v>
      </c>
      <c r="BE102" s="23">
        <v>295</v>
      </c>
      <c r="BF102" s="23"/>
      <c r="BG102" s="23"/>
      <c r="BH102" s="23"/>
      <c r="BI102" s="23"/>
      <c r="BJ102" s="19"/>
      <c r="BK102" s="22"/>
      <c r="BL102" s="23"/>
      <c r="BM102" s="23"/>
      <c r="BN102" s="23"/>
      <c r="BO102" s="23"/>
      <c r="BP102" s="23"/>
      <c r="BQ102" s="23"/>
      <c r="BR102" s="23"/>
      <c r="BS102" s="22"/>
      <c r="BT102" s="23">
        <f>300.9+152.3</f>
        <v>453.2</v>
      </c>
      <c r="BU102" s="23">
        <f>300.9+152.3</f>
        <v>453.2</v>
      </c>
      <c r="BV102" s="23">
        <f t="shared" si="95"/>
        <v>0</v>
      </c>
      <c r="BW102" s="23">
        <f>300.9+148.7</f>
        <v>449.59999999999997</v>
      </c>
      <c r="BX102" s="23">
        <f t="shared" si="96"/>
        <v>99.205648720211826</v>
      </c>
      <c r="BY102" s="23">
        <f>300.9+152.3</f>
        <v>453.2</v>
      </c>
      <c r="BZ102" s="23" t="e">
        <f t="shared" ref="BZ102:BZ133" si="123">BY102/BN102*100</f>
        <v>#DIV/0!</v>
      </c>
      <c r="CA102" s="23"/>
      <c r="CB102" s="23">
        <f t="shared" si="97"/>
        <v>0</v>
      </c>
      <c r="CC102" s="23" t="e">
        <f t="shared" ref="CC102:CC119" si="124">CA102/BQ102*100</f>
        <v>#DIV/0!</v>
      </c>
      <c r="CD102" s="23"/>
      <c r="CE102" s="23" t="e">
        <f t="shared" si="98"/>
        <v>#DIV/0!</v>
      </c>
      <c r="CF102" s="23" t="e">
        <f t="shared" ref="CF102:CF119" si="125">CD102/BR102*100</f>
        <v>#DIV/0!</v>
      </c>
      <c r="CG102" s="23"/>
      <c r="CH102" s="23" t="e">
        <f t="shared" si="80"/>
        <v>#DIV/0!</v>
      </c>
    </row>
    <row r="103" spans="1:86" ht="21" hidden="1" customHeight="1" x14ac:dyDescent="0.25">
      <c r="A103" s="9"/>
      <c r="B103" s="38" t="s">
        <v>247</v>
      </c>
      <c r="C103" s="23"/>
      <c r="D103" s="23"/>
      <c r="E103" s="23"/>
      <c r="F103" s="23">
        <v>68.659000000000006</v>
      </c>
      <c r="G103" s="23"/>
      <c r="H103" s="23"/>
      <c r="I103" s="23"/>
      <c r="J103" s="23"/>
      <c r="K103" s="23">
        <v>260</v>
      </c>
      <c r="L103" s="23">
        <v>260</v>
      </c>
      <c r="M103" s="23"/>
      <c r="N103" s="23"/>
      <c r="O103" s="23"/>
      <c r="P103" s="23"/>
      <c r="Q103" s="23"/>
      <c r="R103" s="23"/>
      <c r="S103" s="23">
        <v>200</v>
      </c>
      <c r="T103" s="23">
        <v>200</v>
      </c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19"/>
      <c r="BK103" s="22"/>
      <c r="BL103" s="23">
        <v>1700</v>
      </c>
      <c r="BM103" s="23"/>
      <c r="BN103" s="23">
        <v>1700</v>
      </c>
      <c r="BO103" s="23"/>
      <c r="BP103" s="23"/>
      <c r="BQ103" s="23"/>
      <c r="BR103" s="23"/>
      <c r="BS103" s="22"/>
      <c r="BT103" s="23">
        <v>80</v>
      </c>
      <c r="BU103" s="23">
        <v>80</v>
      </c>
      <c r="BV103" s="23" t="e">
        <f t="shared" si="95"/>
        <v>#DIV/0!</v>
      </c>
      <c r="BW103" s="23">
        <v>80</v>
      </c>
      <c r="BX103" s="23">
        <f t="shared" si="96"/>
        <v>100</v>
      </c>
      <c r="BY103" s="23">
        <v>80</v>
      </c>
      <c r="BZ103" s="23">
        <f t="shared" si="123"/>
        <v>4.7058823529411766</v>
      </c>
      <c r="CA103" s="23"/>
      <c r="CB103" s="23">
        <f t="shared" ref="CB103:CB134" si="126">CA103/BY103*100</f>
        <v>0</v>
      </c>
      <c r="CC103" s="23" t="e">
        <f t="shared" si="124"/>
        <v>#DIV/0!</v>
      </c>
      <c r="CD103" s="23"/>
      <c r="CE103" s="23" t="e">
        <f t="shared" si="98"/>
        <v>#DIV/0!</v>
      </c>
      <c r="CF103" s="23" t="e">
        <f t="shared" si="125"/>
        <v>#DIV/0!</v>
      </c>
      <c r="CG103" s="23"/>
      <c r="CH103" s="23" t="e">
        <f t="shared" si="80"/>
        <v>#DIV/0!</v>
      </c>
    </row>
    <row r="104" spans="1:86" ht="21" hidden="1" customHeight="1" x14ac:dyDescent="0.25">
      <c r="A104" s="9"/>
      <c r="B104" s="38" t="s">
        <v>218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>
        <v>78</v>
      </c>
      <c r="W104" s="23">
        <v>78</v>
      </c>
      <c r="X104" s="23">
        <v>78</v>
      </c>
      <c r="Y104" s="23"/>
      <c r="Z104" s="23">
        <v>53</v>
      </c>
      <c r="AA104" s="23">
        <v>53</v>
      </c>
      <c r="AB104" s="23">
        <v>53</v>
      </c>
      <c r="AC104" s="23"/>
      <c r="AD104" s="23">
        <v>62.2</v>
      </c>
      <c r="AE104" s="23">
        <v>62.2</v>
      </c>
      <c r="AF104" s="23">
        <v>62.2</v>
      </c>
      <c r="AG104" s="23"/>
      <c r="AH104" s="23">
        <v>59</v>
      </c>
      <c r="AI104" s="23">
        <v>59.5</v>
      </c>
      <c r="AJ104" s="23">
        <v>59.5</v>
      </c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19"/>
      <c r="BK104" s="22"/>
      <c r="BL104" s="23"/>
      <c r="BM104" s="23"/>
      <c r="BN104" s="23"/>
      <c r="BO104" s="23"/>
      <c r="BP104" s="23"/>
      <c r="BQ104" s="23"/>
      <c r="BR104" s="23"/>
      <c r="BS104" s="22"/>
      <c r="BT104" s="23"/>
      <c r="BU104" s="23"/>
      <c r="BV104" s="23" t="e">
        <f t="shared" si="95"/>
        <v>#DIV/0!</v>
      </c>
      <c r="BW104" s="23"/>
      <c r="BX104" s="23" t="e">
        <f t="shared" si="96"/>
        <v>#DIV/0!</v>
      </c>
      <c r="BY104" s="23"/>
      <c r="BZ104" s="23" t="e">
        <f t="shared" si="123"/>
        <v>#DIV/0!</v>
      </c>
      <c r="CA104" s="23"/>
      <c r="CB104" s="23" t="e">
        <f t="shared" si="126"/>
        <v>#DIV/0!</v>
      </c>
      <c r="CC104" s="23" t="e">
        <f t="shared" si="124"/>
        <v>#DIV/0!</v>
      </c>
      <c r="CD104" s="23"/>
      <c r="CE104" s="23" t="e">
        <f t="shared" si="98"/>
        <v>#DIV/0!</v>
      </c>
      <c r="CF104" s="23" t="e">
        <f t="shared" si="125"/>
        <v>#DIV/0!</v>
      </c>
      <c r="CG104" s="23"/>
      <c r="CH104" s="23" t="e">
        <f t="shared" si="80"/>
        <v>#DIV/0!</v>
      </c>
    </row>
    <row r="105" spans="1:86" ht="21" hidden="1" customHeight="1" x14ac:dyDescent="0.25">
      <c r="A105" s="9"/>
      <c r="B105" s="38" t="s">
        <v>248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>
        <v>20</v>
      </c>
      <c r="AO105" s="23">
        <v>20</v>
      </c>
      <c r="AP105" s="23">
        <v>20</v>
      </c>
      <c r="AQ105" s="23">
        <v>20</v>
      </c>
      <c r="AR105" s="23">
        <v>20</v>
      </c>
      <c r="AS105" s="23"/>
      <c r="AT105" s="23">
        <v>20</v>
      </c>
      <c r="AU105" s="23">
        <v>20</v>
      </c>
      <c r="AV105" s="23">
        <v>20</v>
      </c>
      <c r="AW105" s="23"/>
      <c r="AX105" s="23">
        <v>20</v>
      </c>
      <c r="AY105" s="23">
        <v>20</v>
      </c>
      <c r="AZ105" s="23">
        <v>20</v>
      </c>
      <c r="BA105" s="23">
        <v>20</v>
      </c>
      <c r="BB105" s="23">
        <v>20</v>
      </c>
      <c r="BC105" s="23">
        <v>20</v>
      </c>
      <c r="BD105" s="23">
        <v>20</v>
      </c>
      <c r="BE105" s="23">
        <v>20</v>
      </c>
      <c r="BF105" s="23"/>
      <c r="BG105" s="23">
        <v>20</v>
      </c>
      <c r="BH105" s="23">
        <v>20</v>
      </c>
      <c r="BI105" s="23">
        <v>20</v>
      </c>
      <c r="BJ105" s="19">
        <v>20</v>
      </c>
      <c r="BK105" s="22">
        <v>20</v>
      </c>
      <c r="BL105" s="23">
        <v>20</v>
      </c>
      <c r="BM105" s="23"/>
      <c r="BN105" s="23">
        <v>20</v>
      </c>
      <c r="BO105" s="23"/>
      <c r="BP105" s="23">
        <v>20</v>
      </c>
      <c r="BQ105" s="23">
        <v>20</v>
      </c>
      <c r="BR105" s="23">
        <v>20</v>
      </c>
      <c r="BS105" s="22">
        <v>20</v>
      </c>
      <c r="BT105" s="23">
        <v>20</v>
      </c>
      <c r="BU105" s="23">
        <v>20</v>
      </c>
      <c r="BV105" s="23">
        <f t="shared" si="95"/>
        <v>100</v>
      </c>
      <c r="BW105" s="23">
        <v>20</v>
      </c>
      <c r="BX105" s="23">
        <f t="shared" si="96"/>
        <v>100</v>
      </c>
      <c r="BY105" s="23">
        <v>20</v>
      </c>
      <c r="BZ105" s="23">
        <f t="shared" si="123"/>
        <v>100</v>
      </c>
      <c r="CA105" s="23">
        <v>20</v>
      </c>
      <c r="CB105" s="23">
        <f t="shared" si="126"/>
        <v>100</v>
      </c>
      <c r="CC105" s="23">
        <f t="shared" si="124"/>
        <v>100</v>
      </c>
      <c r="CD105" s="23">
        <v>20</v>
      </c>
      <c r="CE105" s="23">
        <f t="shared" si="98"/>
        <v>100</v>
      </c>
      <c r="CF105" s="23">
        <f t="shared" si="125"/>
        <v>100</v>
      </c>
      <c r="CG105" s="23">
        <v>20</v>
      </c>
      <c r="CH105" s="23">
        <f t="shared" si="80"/>
        <v>100</v>
      </c>
    </row>
    <row r="106" spans="1:86" ht="21" hidden="1" customHeight="1" x14ac:dyDescent="0.25">
      <c r="A106" s="9"/>
      <c r="B106" s="38" t="s">
        <v>249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>
        <v>80</v>
      </c>
      <c r="AU106" s="23">
        <v>80</v>
      </c>
      <c r="AV106" s="23">
        <v>80</v>
      </c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19"/>
      <c r="BK106" s="22"/>
      <c r="BL106" s="23"/>
      <c r="BM106" s="23"/>
      <c r="BN106" s="23"/>
      <c r="BO106" s="23"/>
      <c r="BP106" s="23"/>
      <c r="BQ106" s="23"/>
      <c r="BR106" s="23"/>
      <c r="BS106" s="22"/>
      <c r="BT106" s="23">
        <v>150</v>
      </c>
      <c r="BU106" s="23">
        <v>150</v>
      </c>
      <c r="BV106" s="23" t="e">
        <f t="shared" si="95"/>
        <v>#DIV/0!</v>
      </c>
      <c r="BW106" s="23">
        <v>25</v>
      </c>
      <c r="BX106" s="23">
        <f t="shared" si="96"/>
        <v>16.666666666666664</v>
      </c>
      <c r="BY106" s="23">
        <v>150</v>
      </c>
      <c r="BZ106" s="23" t="e">
        <f t="shared" si="123"/>
        <v>#DIV/0!</v>
      </c>
      <c r="CA106" s="23">
        <v>300</v>
      </c>
      <c r="CB106" s="23">
        <f t="shared" si="126"/>
        <v>200</v>
      </c>
      <c r="CC106" s="23" t="e">
        <f t="shared" si="124"/>
        <v>#DIV/0!</v>
      </c>
      <c r="CD106" s="23">
        <v>300</v>
      </c>
      <c r="CE106" s="23">
        <f t="shared" si="98"/>
        <v>100</v>
      </c>
      <c r="CF106" s="23" t="e">
        <f t="shared" si="125"/>
        <v>#DIV/0!</v>
      </c>
      <c r="CG106" s="23">
        <v>300</v>
      </c>
      <c r="CH106" s="23">
        <f t="shared" si="80"/>
        <v>100</v>
      </c>
    </row>
    <row r="107" spans="1:86" ht="21" hidden="1" customHeight="1" x14ac:dyDescent="0.25">
      <c r="A107" s="9"/>
      <c r="B107" s="38" t="s">
        <v>250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>
        <v>600</v>
      </c>
      <c r="P107" s="23">
        <v>599.96667000000002</v>
      </c>
      <c r="Q107" s="23">
        <v>599.96667000000002</v>
      </c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>
        <f>360+4635</f>
        <v>4995</v>
      </c>
      <c r="AF107" s="23">
        <f>360+4635</f>
        <v>4995</v>
      </c>
      <c r="AG107" s="23"/>
      <c r="AH107" s="23"/>
      <c r="AI107" s="23"/>
      <c r="AJ107" s="23"/>
      <c r="AK107" s="23">
        <v>17913.900000000001</v>
      </c>
      <c r="AL107" s="23">
        <v>17913.897000000001</v>
      </c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>
        <v>550</v>
      </c>
      <c r="BD107" s="23">
        <v>550</v>
      </c>
      <c r="BE107" s="23">
        <f>550+646.4</f>
        <v>1196.4000000000001</v>
      </c>
      <c r="BF107" s="23"/>
      <c r="BG107" s="23">
        <v>550</v>
      </c>
      <c r="BH107" s="23"/>
      <c r="BI107" s="23"/>
      <c r="BJ107" s="19">
        <v>550</v>
      </c>
      <c r="BK107" s="22">
        <v>550</v>
      </c>
      <c r="BL107" s="23">
        <f>550+2799.7</f>
        <v>3349.7</v>
      </c>
      <c r="BM107" s="23"/>
      <c r="BN107" s="23">
        <f>550+2799.65</f>
        <v>3349.65</v>
      </c>
      <c r="BO107" s="23"/>
      <c r="BP107" s="23"/>
      <c r="BQ107" s="23"/>
      <c r="BR107" s="23"/>
      <c r="BS107" s="22"/>
      <c r="BT107" s="23"/>
      <c r="BU107" s="23">
        <v>2088.8000000000002</v>
      </c>
      <c r="BV107" s="23">
        <f t="shared" si="95"/>
        <v>279.97743229689064</v>
      </c>
      <c r="BW107" s="23">
        <v>1143.5999999999999</v>
      </c>
      <c r="BX107" s="23">
        <f t="shared" si="96"/>
        <v>54.749138261202589</v>
      </c>
      <c r="BY107" s="23">
        <v>2088.8000000000002</v>
      </c>
      <c r="BZ107" s="23">
        <f t="shared" si="123"/>
        <v>62.358753899661167</v>
      </c>
      <c r="CA107" s="23"/>
      <c r="CB107" s="23">
        <f t="shared" si="126"/>
        <v>0</v>
      </c>
      <c r="CC107" s="23" t="e">
        <f t="shared" si="124"/>
        <v>#DIV/0!</v>
      </c>
      <c r="CD107" s="23"/>
      <c r="CE107" s="23" t="e">
        <f t="shared" si="98"/>
        <v>#DIV/0!</v>
      </c>
      <c r="CF107" s="23" t="e">
        <f t="shared" si="125"/>
        <v>#DIV/0!</v>
      </c>
      <c r="CG107" s="23"/>
      <c r="CH107" s="23" t="e">
        <f t="shared" si="80"/>
        <v>#DIV/0!</v>
      </c>
    </row>
    <row r="108" spans="1:86" ht="21" hidden="1" customHeight="1" x14ac:dyDescent="0.25">
      <c r="A108" s="9"/>
      <c r="B108" s="38" t="s">
        <v>251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>
        <v>140</v>
      </c>
      <c r="AI108" s="23"/>
      <c r="AJ108" s="23"/>
      <c r="AK108" s="23">
        <v>140</v>
      </c>
      <c r="AL108" s="23">
        <v>140</v>
      </c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19"/>
      <c r="BK108" s="22"/>
      <c r="BL108" s="23"/>
      <c r="BM108" s="23"/>
      <c r="BN108" s="23"/>
      <c r="BO108" s="23"/>
      <c r="BP108" s="23"/>
      <c r="BQ108" s="23"/>
      <c r="BR108" s="23"/>
      <c r="BS108" s="22"/>
      <c r="BT108" s="23"/>
      <c r="BU108" s="23"/>
      <c r="BV108" s="23" t="e">
        <f t="shared" si="95"/>
        <v>#DIV/0!</v>
      </c>
      <c r="BW108" s="23"/>
      <c r="BX108" s="23" t="e">
        <f t="shared" si="96"/>
        <v>#DIV/0!</v>
      </c>
      <c r="BY108" s="23"/>
      <c r="BZ108" s="23" t="e">
        <f t="shared" si="123"/>
        <v>#DIV/0!</v>
      </c>
      <c r="CA108" s="23"/>
      <c r="CB108" s="23" t="e">
        <f t="shared" si="126"/>
        <v>#DIV/0!</v>
      </c>
      <c r="CC108" s="23" t="e">
        <f t="shared" si="124"/>
        <v>#DIV/0!</v>
      </c>
      <c r="CD108" s="23"/>
      <c r="CE108" s="23" t="e">
        <f t="shared" si="98"/>
        <v>#DIV/0!</v>
      </c>
      <c r="CF108" s="23" t="e">
        <f t="shared" si="125"/>
        <v>#DIV/0!</v>
      </c>
      <c r="CG108" s="23"/>
      <c r="CH108" s="23" t="e">
        <f t="shared" si="80"/>
        <v>#DIV/0!</v>
      </c>
    </row>
    <row r="109" spans="1:86" ht="21" hidden="1" customHeight="1" x14ac:dyDescent="0.25">
      <c r="A109" s="9"/>
      <c r="B109" s="38" t="s">
        <v>252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>
        <v>29.4</v>
      </c>
      <c r="BD109" s="23">
        <v>29.4</v>
      </c>
      <c r="BE109" s="23">
        <v>29.4</v>
      </c>
      <c r="BF109" s="23"/>
      <c r="BG109" s="23"/>
      <c r="BH109" s="23"/>
      <c r="BI109" s="23"/>
      <c r="BJ109" s="19"/>
      <c r="BK109" s="22"/>
      <c r="BL109" s="23"/>
      <c r="BM109" s="23"/>
      <c r="BN109" s="23"/>
      <c r="BO109" s="23"/>
      <c r="BP109" s="23"/>
      <c r="BQ109" s="23"/>
      <c r="BR109" s="23"/>
      <c r="BS109" s="22"/>
      <c r="BT109" s="23"/>
      <c r="BU109" s="23"/>
      <c r="BV109" s="23">
        <f t="shared" si="95"/>
        <v>0</v>
      </c>
      <c r="BW109" s="23"/>
      <c r="BX109" s="23" t="e">
        <f t="shared" si="96"/>
        <v>#DIV/0!</v>
      </c>
      <c r="BY109" s="23"/>
      <c r="BZ109" s="23" t="e">
        <f t="shared" si="123"/>
        <v>#DIV/0!</v>
      </c>
      <c r="CA109" s="23"/>
      <c r="CB109" s="23" t="e">
        <f t="shared" si="126"/>
        <v>#DIV/0!</v>
      </c>
      <c r="CC109" s="23" t="e">
        <f t="shared" si="124"/>
        <v>#DIV/0!</v>
      </c>
      <c r="CD109" s="23"/>
      <c r="CE109" s="23" t="e">
        <f t="shared" si="98"/>
        <v>#DIV/0!</v>
      </c>
      <c r="CF109" s="23" t="e">
        <f t="shared" si="125"/>
        <v>#DIV/0!</v>
      </c>
      <c r="CG109" s="23"/>
      <c r="CH109" s="23" t="e">
        <f t="shared" si="80"/>
        <v>#DIV/0!</v>
      </c>
    </row>
    <row r="110" spans="1:86" ht="21" hidden="1" customHeight="1" x14ac:dyDescent="0.25">
      <c r="A110" s="9"/>
      <c r="B110" s="38" t="s">
        <v>253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>
        <v>600</v>
      </c>
      <c r="S110" s="23">
        <v>600</v>
      </c>
      <c r="T110" s="23">
        <v>600</v>
      </c>
      <c r="U110" s="23"/>
      <c r="V110" s="23"/>
      <c r="W110" s="23"/>
      <c r="X110" s="23"/>
      <c r="Y110" s="23"/>
      <c r="Z110" s="23">
        <v>100</v>
      </c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19"/>
      <c r="BK110" s="22"/>
      <c r="BL110" s="23"/>
      <c r="BM110" s="23"/>
      <c r="BN110" s="23"/>
      <c r="BO110" s="23"/>
      <c r="BP110" s="23"/>
      <c r="BQ110" s="23"/>
      <c r="BR110" s="23"/>
      <c r="BS110" s="22"/>
      <c r="BT110" s="23"/>
      <c r="BU110" s="23"/>
      <c r="BV110" s="23" t="e">
        <f t="shared" si="95"/>
        <v>#DIV/0!</v>
      </c>
      <c r="BW110" s="23"/>
      <c r="BX110" s="23" t="e">
        <f t="shared" si="96"/>
        <v>#DIV/0!</v>
      </c>
      <c r="BY110" s="23"/>
      <c r="BZ110" s="23" t="e">
        <f t="shared" si="123"/>
        <v>#DIV/0!</v>
      </c>
      <c r="CA110" s="23"/>
      <c r="CB110" s="23" t="e">
        <f t="shared" si="126"/>
        <v>#DIV/0!</v>
      </c>
      <c r="CC110" s="23" t="e">
        <f t="shared" si="124"/>
        <v>#DIV/0!</v>
      </c>
      <c r="CD110" s="23"/>
      <c r="CE110" s="23" t="e">
        <f t="shared" si="98"/>
        <v>#DIV/0!</v>
      </c>
      <c r="CF110" s="23" t="e">
        <f t="shared" si="125"/>
        <v>#DIV/0!</v>
      </c>
      <c r="CG110" s="23"/>
      <c r="CH110" s="23" t="e">
        <f t="shared" si="80"/>
        <v>#DIV/0!</v>
      </c>
    </row>
    <row r="111" spans="1:86" ht="21" hidden="1" customHeight="1" x14ac:dyDescent="0.25">
      <c r="A111" s="9"/>
      <c r="B111" s="38" t="s">
        <v>254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>
        <v>876</v>
      </c>
      <c r="O111" s="23">
        <v>876</v>
      </c>
      <c r="P111" s="23">
        <v>876</v>
      </c>
      <c r="Q111" s="23">
        <v>876</v>
      </c>
      <c r="R111" s="23"/>
      <c r="S111" s="23"/>
      <c r="T111" s="23"/>
      <c r="U111" s="23"/>
      <c r="V111" s="23"/>
      <c r="W111" s="23"/>
      <c r="X111" s="23"/>
      <c r="Y111" s="23"/>
      <c r="Z111" s="23"/>
      <c r="AA111" s="23">
        <v>500</v>
      </c>
      <c r="AB111" s="23">
        <v>500</v>
      </c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19"/>
      <c r="BK111" s="22"/>
      <c r="BL111" s="23"/>
      <c r="BM111" s="23"/>
      <c r="BN111" s="23"/>
      <c r="BO111" s="23"/>
      <c r="BP111" s="23"/>
      <c r="BQ111" s="23"/>
      <c r="BR111" s="23"/>
      <c r="BS111" s="22"/>
      <c r="BT111" s="23"/>
      <c r="BU111" s="23"/>
      <c r="BV111" s="23" t="e">
        <f t="shared" si="95"/>
        <v>#DIV/0!</v>
      </c>
      <c r="BW111" s="23"/>
      <c r="BX111" s="23" t="e">
        <f t="shared" si="96"/>
        <v>#DIV/0!</v>
      </c>
      <c r="BY111" s="23"/>
      <c r="BZ111" s="23" t="e">
        <f t="shared" si="123"/>
        <v>#DIV/0!</v>
      </c>
      <c r="CA111" s="23"/>
      <c r="CB111" s="23" t="e">
        <f t="shared" si="126"/>
        <v>#DIV/0!</v>
      </c>
      <c r="CC111" s="23" t="e">
        <f t="shared" si="124"/>
        <v>#DIV/0!</v>
      </c>
      <c r="CD111" s="23"/>
      <c r="CE111" s="23" t="e">
        <f t="shared" si="98"/>
        <v>#DIV/0!</v>
      </c>
      <c r="CF111" s="23" t="e">
        <f t="shared" si="125"/>
        <v>#DIV/0!</v>
      </c>
      <c r="CG111" s="23"/>
      <c r="CH111" s="23" t="e">
        <f t="shared" si="80"/>
        <v>#DIV/0!</v>
      </c>
    </row>
    <row r="112" spans="1:86" ht="21" hidden="1" customHeight="1" x14ac:dyDescent="0.25">
      <c r="A112" s="9"/>
      <c r="B112" s="38" t="s">
        <v>255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>
        <v>1368.2</v>
      </c>
      <c r="P112" s="23">
        <v>1368.18</v>
      </c>
      <c r="Q112" s="23">
        <v>1368.18</v>
      </c>
      <c r="R112" s="23">
        <v>3400</v>
      </c>
      <c r="S112" s="23">
        <v>3400</v>
      </c>
      <c r="T112" s="23">
        <v>3400</v>
      </c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>
        <v>3500</v>
      </c>
      <c r="AL112" s="23">
        <v>3029.2801199999999</v>
      </c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19"/>
      <c r="BK112" s="22"/>
      <c r="BL112" s="23"/>
      <c r="BM112" s="23"/>
      <c r="BN112" s="23"/>
      <c r="BO112" s="23"/>
      <c r="BP112" s="23"/>
      <c r="BQ112" s="23"/>
      <c r="BR112" s="23"/>
      <c r="BS112" s="22"/>
      <c r="BT112" s="23"/>
      <c r="BU112" s="23"/>
      <c r="BV112" s="23" t="e">
        <f t="shared" si="95"/>
        <v>#DIV/0!</v>
      </c>
      <c r="BW112" s="23"/>
      <c r="BX112" s="23" t="e">
        <f t="shared" si="96"/>
        <v>#DIV/0!</v>
      </c>
      <c r="BY112" s="23"/>
      <c r="BZ112" s="23" t="e">
        <f t="shared" si="123"/>
        <v>#DIV/0!</v>
      </c>
      <c r="CA112" s="23"/>
      <c r="CB112" s="23" t="e">
        <f t="shared" si="126"/>
        <v>#DIV/0!</v>
      </c>
      <c r="CC112" s="23" t="e">
        <f t="shared" si="124"/>
        <v>#DIV/0!</v>
      </c>
      <c r="CD112" s="23"/>
      <c r="CE112" s="23" t="e">
        <f t="shared" si="98"/>
        <v>#DIV/0!</v>
      </c>
      <c r="CF112" s="23" t="e">
        <f t="shared" si="125"/>
        <v>#DIV/0!</v>
      </c>
      <c r="CG112" s="23"/>
      <c r="CH112" s="23" t="e">
        <f t="shared" si="80"/>
        <v>#DIV/0!</v>
      </c>
    </row>
    <row r="113" spans="1:86" ht="21" hidden="1" customHeight="1" x14ac:dyDescent="0.25">
      <c r="A113" s="9"/>
      <c r="B113" s="38" t="s">
        <v>256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>
        <v>132.1</v>
      </c>
      <c r="AF113" s="23">
        <v>132.11699999999999</v>
      </c>
      <c r="AG113" s="23"/>
      <c r="AH113" s="23"/>
      <c r="AI113" s="23"/>
      <c r="AJ113" s="23"/>
      <c r="AK113" s="23">
        <v>114</v>
      </c>
      <c r="AL113" s="23">
        <v>114</v>
      </c>
      <c r="AM113" s="23"/>
      <c r="AN113" s="23"/>
      <c r="AO113" s="23"/>
      <c r="AP113" s="23"/>
      <c r="AQ113" s="23"/>
      <c r="AR113" s="23"/>
      <c r="AS113" s="23"/>
      <c r="AT113" s="23">
        <v>219</v>
      </c>
      <c r="AU113" s="23">
        <v>219</v>
      </c>
      <c r="AV113" s="23">
        <v>219</v>
      </c>
      <c r="AW113" s="23"/>
      <c r="AX113" s="23"/>
      <c r="AY113" s="23"/>
      <c r="AZ113" s="23"/>
      <c r="BA113" s="23"/>
      <c r="BB113" s="23"/>
      <c r="BC113" s="23">
        <v>97.7</v>
      </c>
      <c r="BD113" s="23">
        <v>97.7</v>
      </c>
      <c r="BE113" s="23">
        <v>97.7</v>
      </c>
      <c r="BF113" s="23"/>
      <c r="BG113" s="23"/>
      <c r="BH113" s="23"/>
      <c r="BI113" s="23"/>
      <c r="BJ113" s="19"/>
      <c r="BK113" s="22"/>
      <c r="BL113" s="23">
        <v>58.8</v>
      </c>
      <c r="BM113" s="23"/>
      <c r="BN113" s="23">
        <v>58.823999999999998</v>
      </c>
      <c r="BO113" s="23"/>
      <c r="BP113" s="23"/>
      <c r="BQ113" s="23"/>
      <c r="BR113" s="23"/>
      <c r="BS113" s="22"/>
      <c r="BT113" s="23"/>
      <c r="BU113" s="23"/>
      <c r="BV113" s="23">
        <f t="shared" si="95"/>
        <v>60.208802456499491</v>
      </c>
      <c r="BW113" s="23"/>
      <c r="BX113" s="23" t="e">
        <f t="shared" si="96"/>
        <v>#DIV/0!</v>
      </c>
      <c r="BY113" s="23"/>
      <c r="BZ113" s="23">
        <f t="shared" si="123"/>
        <v>0</v>
      </c>
      <c r="CA113" s="23"/>
      <c r="CB113" s="23" t="e">
        <f t="shared" si="126"/>
        <v>#DIV/0!</v>
      </c>
      <c r="CC113" s="23" t="e">
        <f t="shared" si="124"/>
        <v>#DIV/0!</v>
      </c>
      <c r="CD113" s="23"/>
      <c r="CE113" s="23" t="e">
        <f t="shared" si="98"/>
        <v>#DIV/0!</v>
      </c>
      <c r="CF113" s="23" t="e">
        <f t="shared" si="125"/>
        <v>#DIV/0!</v>
      </c>
      <c r="CG113" s="23"/>
      <c r="CH113" s="23" t="e">
        <f t="shared" si="80"/>
        <v>#DIV/0!</v>
      </c>
    </row>
    <row r="114" spans="1:86" ht="21" hidden="1" customHeight="1" x14ac:dyDescent="0.25">
      <c r="A114" s="9"/>
      <c r="B114" s="38" t="s">
        <v>257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>
        <v>100</v>
      </c>
      <c r="AU114" s="23">
        <v>100</v>
      </c>
      <c r="AV114" s="23">
        <v>100</v>
      </c>
      <c r="AW114" s="23"/>
      <c r="AX114" s="23"/>
      <c r="AY114" s="23"/>
      <c r="AZ114" s="23"/>
      <c r="BA114" s="23"/>
      <c r="BB114" s="23"/>
      <c r="BC114" s="23">
        <v>298.60000000000002</v>
      </c>
      <c r="BD114" s="23">
        <v>298.60000000000002</v>
      </c>
      <c r="BE114" s="23">
        <v>298.60000000000002</v>
      </c>
      <c r="BF114" s="23"/>
      <c r="BG114" s="23"/>
      <c r="BH114" s="23"/>
      <c r="BI114" s="23"/>
      <c r="BJ114" s="19"/>
      <c r="BK114" s="22"/>
      <c r="BL114" s="23"/>
      <c r="BM114" s="23"/>
      <c r="BN114" s="23"/>
      <c r="BO114" s="23"/>
      <c r="BP114" s="23"/>
      <c r="BQ114" s="23"/>
      <c r="BR114" s="23"/>
      <c r="BS114" s="22"/>
      <c r="BT114" s="23">
        <v>300</v>
      </c>
      <c r="BU114" s="23">
        <v>300</v>
      </c>
      <c r="BV114" s="23">
        <f t="shared" si="95"/>
        <v>0</v>
      </c>
      <c r="BW114" s="23"/>
      <c r="BX114" s="23">
        <f t="shared" si="96"/>
        <v>0</v>
      </c>
      <c r="BY114" s="23">
        <v>300</v>
      </c>
      <c r="BZ114" s="23" t="e">
        <f t="shared" si="123"/>
        <v>#DIV/0!</v>
      </c>
      <c r="CA114" s="23"/>
      <c r="CB114" s="23">
        <f t="shared" si="126"/>
        <v>0</v>
      </c>
      <c r="CC114" s="23" t="e">
        <f t="shared" si="124"/>
        <v>#DIV/0!</v>
      </c>
      <c r="CD114" s="23"/>
      <c r="CE114" s="23" t="e">
        <f t="shared" si="98"/>
        <v>#DIV/0!</v>
      </c>
      <c r="CF114" s="23" t="e">
        <f t="shared" si="125"/>
        <v>#DIV/0!</v>
      </c>
      <c r="CG114" s="23"/>
      <c r="CH114" s="23" t="e">
        <f t="shared" si="80"/>
        <v>#DIV/0!</v>
      </c>
    </row>
    <row r="115" spans="1:86" ht="21" hidden="1" customHeight="1" x14ac:dyDescent="0.25">
      <c r="A115" s="9"/>
      <c r="B115" s="38" t="s">
        <v>258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19"/>
      <c r="BK115" s="22"/>
      <c r="BL115" s="23">
        <v>50</v>
      </c>
      <c r="BM115" s="23"/>
      <c r="BN115" s="23">
        <v>50</v>
      </c>
      <c r="BO115" s="23"/>
      <c r="BP115" s="23"/>
      <c r="BQ115" s="23"/>
      <c r="BR115" s="23"/>
      <c r="BS115" s="22"/>
      <c r="BT115" s="23"/>
      <c r="BU115" s="23">
        <v>50</v>
      </c>
      <c r="BV115" s="23" t="e">
        <f t="shared" si="95"/>
        <v>#DIV/0!</v>
      </c>
      <c r="BW115" s="23">
        <v>50</v>
      </c>
      <c r="BX115" s="23">
        <f t="shared" si="96"/>
        <v>100</v>
      </c>
      <c r="BY115" s="23">
        <v>50</v>
      </c>
      <c r="BZ115" s="23">
        <f t="shared" si="123"/>
        <v>100</v>
      </c>
      <c r="CA115" s="23"/>
      <c r="CB115" s="23">
        <f t="shared" si="126"/>
        <v>0</v>
      </c>
      <c r="CC115" s="23" t="e">
        <f t="shared" si="124"/>
        <v>#DIV/0!</v>
      </c>
      <c r="CD115" s="23"/>
      <c r="CE115" s="23" t="e">
        <f t="shared" si="98"/>
        <v>#DIV/0!</v>
      </c>
      <c r="CF115" s="23" t="e">
        <f t="shared" si="125"/>
        <v>#DIV/0!</v>
      </c>
      <c r="CG115" s="23"/>
      <c r="CH115" s="23"/>
    </row>
    <row r="116" spans="1:86" ht="20.25" hidden="1" customHeight="1" x14ac:dyDescent="0.25">
      <c r="A116" s="9"/>
      <c r="B116" s="38" t="s">
        <v>259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>
        <v>281</v>
      </c>
      <c r="S116" s="23">
        <v>281</v>
      </c>
      <c r="T116" s="23">
        <v>281</v>
      </c>
      <c r="U116" s="23"/>
      <c r="V116" s="23">
        <v>303</v>
      </c>
      <c r="W116" s="23">
        <v>0</v>
      </c>
      <c r="X116" s="23">
        <v>0</v>
      </c>
      <c r="Y116" s="23"/>
      <c r="Z116" s="23"/>
      <c r="AA116" s="23"/>
      <c r="AB116" s="23"/>
      <c r="AC116" s="23"/>
      <c r="AD116" s="23"/>
      <c r="AE116" s="23"/>
      <c r="AF116" s="23"/>
      <c r="AG116" s="23"/>
      <c r="AH116" s="23">
        <v>115.6</v>
      </c>
      <c r="AI116" s="23">
        <v>115.6</v>
      </c>
      <c r="AJ116" s="23">
        <v>115.6</v>
      </c>
      <c r="AK116" s="23">
        <v>115.6</v>
      </c>
      <c r="AL116" s="23">
        <v>115.6</v>
      </c>
      <c r="AM116" s="23"/>
      <c r="AN116" s="23">
        <v>65.3</v>
      </c>
      <c r="AO116" s="23">
        <v>65.3</v>
      </c>
      <c r="AP116" s="23">
        <v>65.3</v>
      </c>
      <c r="AQ116" s="23">
        <v>65.3</v>
      </c>
      <c r="AR116" s="23">
        <v>65.3</v>
      </c>
      <c r="AS116" s="23"/>
      <c r="AT116" s="23">
        <v>65.3</v>
      </c>
      <c r="AU116" s="23">
        <v>65.3</v>
      </c>
      <c r="AV116" s="23">
        <v>65.3</v>
      </c>
      <c r="AW116" s="23"/>
      <c r="AX116" s="23">
        <v>115</v>
      </c>
      <c r="AY116" s="23">
        <v>115</v>
      </c>
      <c r="AZ116" s="23">
        <v>115</v>
      </c>
      <c r="BA116" s="23">
        <v>115</v>
      </c>
      <c r="BB116" s="23">
        <v>115</v>
      </c>
      <c r="BC116" s="23">
        <v>115</v>
      </c>
      <c r="BD116" s="23">
        <v>115</v>
      </c>
      <c r="BE116" s="23">
        <f>115+568</f>
        <v>683</v>
      </c>
      <c r="BF116" s="23"/>
      <c r="BG116" s="23">
        <v>161</v>
      </c>
      <c r="BH116" s="23">
        <v>161</v>
      </c>
      <c r="BI116" s="23">
        <v>161</v>
      </c>
      <c r="BJ116" s="19">
        <v>161</v>
      </c>
      <c r="BK116" s="22">
        <v>161</v>
      </c>
      <c r="BL116" s="23">
        <v>161</v>
      </c>
      <c r="BM116" s="23"/>
      <c r="BN116" s="23">
        <v>161</v>
      </c>
      <c r="BO116" s="23"/>
      <c r="BP116" s="23">
        <v>418</v>
      </c>
      <c r="BQ116" s="23">
        <v>418</v>
      </c>
      <c r="BR116" s="23">
        <v>418</v>
      </c>
      <c r="BS116" s="22">
        <v>418</v>
      </c>
      <c r="BT116" s="23">
        <v>418</v>
      </c>
      <c r="BU116" s="23">
        <v>418</v>
      </c>
      <c r="BV116" s="23">
        <f t="shared" si="95"/>
        <v>23.572474377745241</v>
      </c>
      <c r="BW116" s="23">
        <v>418</v>
      </c>
      <c r="BX116" s="23">
        <f t="shared" si="96"/>
        <v>100</v>
      </c>
      <c r="BY116" s="23">
        <v>418</v>
      </c>
      <c r="BZ116" s="23">
        <f t="shared" si="123"/>
        <v>259.62732919254654</v>
      </c>
      <c r="CA116" s="23"/>
      <c r="CB116" s="23">
        <f t="shared" si="126"/>
        <v>0</v>
      </c>
      <c r="CC116" s="23">
        <f t="shared" si="124"/>
        <v>0</v>
      </c>
      <c r="CD116" s="23"/>
      <c r="CE116" s="23" t="e">
        <f t="shared" si="98"/>
        <v>#DIV/0!</v>
      </c>
      <c r="CF116" s="23">
        <f t="shared" si="125"/>
        <v>0</v>
      </c>
      <c r="CG116" s="23"/>
      <c r="CH116" s="23" t="e">
        <f t="shared" ref="CH116:CH128" si="127">CG116/CD116*100</f>
        <v>#DIV/0!</v>
      </c>
    </row>
    <row r="117" spans="1:86" ht="21" hidden="1" customHeight="1" x14ac:dyDescent="0.25">
      <c r="A117" s="9"/>
      <c r="B117" s="38" t="s">
        <v>260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>
        <v>91.5</v>
      </c>
      <c r="X117" s="23">
        <v>91.532489999999996</v>
      </c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19"/>
      <c r="BK117" s="22"/>
      <c r="BL117" s="23"/>
      <c r="BM117" s="23"/>
      <c r="BN117" s="23"/>
      <c r="BO117" s="23"/>
      <c r="BP117" s="23"/>
      <c r="BQ117" s="23"/>
      <c r="BR117" s="23"/>
      <c r="BS117" s="22"/>
      <c r="BT117" s="23"/>
      <c r="BU117" s="23"/>
      <c r="BV117" s="23" t="e">
        <f t="shared" si="95"/>
        <v>#DIV/0!</v>
      </c>
      <c r="BW117" s="23"/>
      <c r="BX117" s="23" t="e">
        <f t="shared" si="96"/>
        <v>#DIV/0!</v>
      </c>
      <c r="BY117" s="23"/>
      <c r="BZ117" s="23" t="e">
        <f t="shared" si="123"/>
        <v>#DIV/0!</v>
      </c>
      <c r="CA117" s="23"/>
      <c r="CB117" s="23" t="e">
        <f t="shared" si="126"/>
        <v>#DIV/0!</v>
      </c>
      <c r="CC117" s="23" t="e">
        <f t="shared" si="124"/>
        <v>#DIV/0!</v>
      </c>
      <c r="CD117" s="23"/>
      <c r="CE117" s="23" t="e">
        <f t="shared" si="98"/>
        <v>#DIV/0!</v>
      </c>
      <c r="CF117" s="23" t="e">
        <f t="shared" si="125"/>
        <v>#DIV/0!</v>
      </c>
      <c r="CG117" s="23"/>
      <c r="CH117" s="23" t="e">
        <f t="shared" si="127"/>
        <v>#DIV/0!</v>
      </c>
    </row>
    <row r="118" spans="1:86" ht="21" hidden="1" customHeight="1" x14ac:dyDescent="0.25">
      <c r="A118" s="9"/>
      <c r="B118" s="38" t="s">
        <v>261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>
        <v>14513.7</v>
      </c>
      <c r="AU118" s="23">
        <v>19993.7</v>
      </c>
      <c r="AV118" s="23">
        <v>19993.8</v>
      </c>
      <c r="AW118" s="23"/>
      <c r="AX118" s="23">
        <v>16162.1</v>
      </c>
      <c r="AY118" s="23">
        <v>4431.6000000000004</v>
      </c>
      <c r="AZ118" s="23">
        <v>3317.3</v>
      </c>
      <c r="BA118" s="23">
        <v>16162.1</v>
      </c>
      <c r="BB118" s="23">
        <v>16162.1</v>
      </c>
      <c r="BC118" s="23">
        <v>21179.1</v>
      </c>
      <c r="BD118" s="23">
        <v>21179.1</v>
      </c>
      <c r="BE118" s="23">
        <v>21839</v>
      </c>
      <c r="BF118" s="23"/>
      <c r="BG118" s="23">
        <v>9189.4</v>
      </c>
      <c r="BH118" s="23">
        <v>2914.7</v>
      </c>
      <c r="BI118" s="23">
        <v>2307.5</v>
      </c>
      <c r="BJ118" s="19">
        <v>10389.299999999999</v>
      </c>
      <c r="BK118" s="22">
        <v>19123.599999999999</v>
      </c>
      <c r="BL118" s="23">
        <v>24925.1</v>
      </c>
      <c r="BM118" s="23"/>
      <c r="BN118" s="23">
        <v>24924.942800000001</v>
      </c>
      <c r="BO118" s="23"/>
      <c r="BP118" s="23">
        <v>12403.3</v>
      </c>
      <c r="BQ118" s="23">
        <v>6729.4</v>
      </c>
      <c r="BR118" s="23">
        <v>4457.1000000000004</v>
      </c>
      <c r="BS118" s="22"/>
      <c r="BT118" s="23">
        <v>23380.799999999999</v>
      </c>
      <c r="BU118" s="23">
        <v>25888.6</v>
      </c>
      <c r="BV118" s="23">
        <f t="shared" si="95"/>
        <v>114.13042172260634</v>
      </c>
      <c r="BW118" s="23">
        <f>BW95-BW96-BW97-BW99-BW100-BW101-BW102-BW103-BW105-BW106-BW107-BW115-BW116</f>
        <v>9910.4999999999982</v>
      </c>
      <c r="BX118" s="23">
        <f t="shared" si="96"/>
        <v>38.28132846117596</v>
      </c>
      <c r="BY118" s="23">
        <v>25888.6</v>
      </c>
      <c r="BZ118" s="23">
        <f t="shared" si="123"/>
        <v>103.86623635501383</v>
      </c>
      <c r="CA118" s="23">
        <v>10773.4</v>
      </c>
      <c r="CB118" s="23">
        <f t="shared" si="126"/>
        <v>41.614455783626767</v>
      </c>
      <c r="CC118" s="23">
        <f t="shared" si="124"/>
        <v>160.09451065473891</v>
      </c>
      <c r="CD118" s="23">
        <v>9719.9</v>
      </c>
      <c r="CE118" s="23">
        <f t="shared" si="98"/>
        <v>90.221285759370289</v>
      </c>
      <c r="CF118" s="23">
        <f t="shared" si="125"/>
        <v>218.07677637926002</v>
      </c>
      <c r="CG118" s="23">
        <v>9273</v>
      </c>
      <c r="CH118" s="23">
        <f t="shared" si="127"/>
        <v>95.402216072181815</v>
      </c>
    </row>
    <row r="119" spans="1:86" ht="22.5" hidden="1" customHeight="1" x14ac:dyDescent="0.25">
      <c r="A119" s="9" t="s">
        <v>262</v>
      </c>
      <c r="B119" s="38" t="s">
        <v>263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>
        <v>0</v>
      </c>
      <c r="N119" s="23"/>
      <c r="O119" s="23"/>
      <c r="P119" s="23"/>
      <c r="Q119" s="23">
        <v>0</v>
      </c>
      <c r="R119" s="23"/>
      <c r="S119" s="23"/>
      <c r="T119" s="23"/>
      <c r="U119" s="23">
        <v>74239.675010000006</v>
      </c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19"/>
      <c r="BK119" s="22"/>
      <c r="BL119" s="23"/>
      <c r="BM119" s="23"/>
      <c r="BN119" s="23"/>
      <c r="BO119" s="23"/>
      <c r="BP119" s="23"/>
      <c r="BQ119" s="23"/>
      <c r="BR119" s="23"/>
      <c r="BS119" s="22"/>
      <c r="BT119" s="23"/>
      <c r="BU119" s="23"/>
      <c r="BV119" s="23" t="e">
        <f t="shared" si="95"/>
        <v>#DIV/0!</v>
      </c>
      <c r="BW119" s="23"/>
      <c r="BX119" s="23" t="e">
        <f t="shared" si="96"/>
        <v>#DIV/0!</v>
      </c>
      <c r="BY119" s="23"/>
      <c r="BZ119" s="23" t="e">
        <f t="shared" si="123"/>
        <v>#DIV/0!</v>
      </c>
      <c r="CA119" s="23"/>
      <c r="CB119" s="23" t="e">
        <f t="shared" si="126"/>
        <v>#DIV/0!</v>
      </c>
      <c r="CC119" s="23" t="e">
        <f t="shared" si="124"/>
        <v>#DIV/0!</v>
      </c>
      <c r="CD119" s="23"/>
      <c r="CE119" s="23" t="e">
        <f t="shared" si="98"/>
        <v>#DIV/0!</v>
      </c>
      <c r="CF119" s="23" t="e">
        <f t="shared" si="125"/>
        <v>#DIV/0!</v>
      </c>
      <c r="CG119" s="23"/>
      <c r="CH119" s="23" t="e">
        <f t="shared" si="127"/>
        <v>#DIV/0!</v>
      </c>
    </row>
    <row r="120" spans="1:86" ht="22.5" hidden="1" customHeight="1" x14ac:dyDescent="0.25">
      <c r="A120" s="17" t="s">
        <v>264</v>
      </c>
      <c r="B120" s="18" t="s">
        <v>265</v>
      </c>
      <c r="C120" s="19">
        <f t="shared" ref="C120:AL120" si="128">C121</f>
        <v>0</v>
      </c>
      <c r="D120" s="19">
        <f t="shared" si="128"/>
        <v>0</v>
      </c>
      <c r="E120" s="19">
        <f t="shared" si="128"/>
        <v>0</v>
      </c>
      <c r="F120" s="19">
        <f t="shared" si="128"/>
        <v>0</v>
      </c>
      <c r="G120" s="19">
        <f t="shared" si="128"/>
        <v>0</v>
      </c>
      <c r="H120" s="19">
        <f t="shared" si="128"/>
        <v>0</v>
      </c>
      <c r="I120" s="19">
        <f t="shared" si="128"/>
        <v>0</v>
      </c>
      <c r="J120" s="19">
        <f t="shared" si="128"/>
        <v>0</v>
      </c>
      <c r="K120" s="19">
        <f t="shared" si="128"/>
        <v>242.5</v>
      </c>
      <c r="L120" s="19">
        <f>L121</f>
        <v>242.53899999999999</v>
      </c>
      <c r="M120" s="19">
        <f>M121</f>
        <v>5950.4635799999996</v>
      </c>
      <c r="N120" s="19">
        <f t="shared" si="128"/>
        <v>0</v>
      </c>
      <c r="O120" s="19">
        <f t="shared" si="128"/>
        <v>100</v>
      </c>
      <c r="P120" s="19">
        <f>P121</f>
        <v>100</v>
      </c>
      <c r="Q120" s="19">
        <f>Q121</f>
        <v>16793.878639999999</v>
      </c>
      <c r="R120" s="19">
        <f t="shared" si="128"/>
        <v>0</v>
      </c>
      <c r="S120" s="19">
        <f t="shared" si="128"/>
        <v>50</v>
      </c>
      <c r="T120" s="19">
        <f>T121</f>
        <v>50</v>
      </c>
      <c r="U120" s="19">
        <f>U121</f>
        <v>1184.49161</v>
      </c>
      <c r="V120" s="19">
        <f t="shared" si="128"/>
        <v>0</v>
      </c>
      <c r="W120" s="19">
        <f t="shared" si="128"/>
        <v>0</v>
      </c>
      <c r="X120" s="19">
        <f>X121</f>
        <v>0</v>
      </c>
      <c r="Y120" s="19">
        <f>Y121</f>
        <v>0</v>
      </c>
      <c r="Z120" s="19">
        <f t="shared" si="128"/>
        <v>0</v>
      </c>
      <c r="AA120" s="19">
        <f t="shared" si="128"/>
        <v>0</v>
      </c>
      <c r="AB120" s="19">
        <f>AB121</f>
        <v>0</v>
      </c>
      <c r="AC120" s="19">
        <f>AC121</f>
        <v>164562.53552</v>
      </c>
      <c r="AD120" s="19">
        <f t="shared" si="128"/>
        <v>0</v>
      </c>
      <c r="AE120" s="19">
        <f t="shared" si="128"/>
        <v>0</v>
      </c>
      <c r="AF120" s="19">
        <f t="shared" si="128"/>
        <v>0</v>
      </c>
      <c r="AG120" s="19">
        <f t="shared" si="128"/>
        <v>0</v>
      </c>
      <c r="AH120" s="19">
        <f t="shared" si="128"/>
        <v>0</v>
      </c>
      <c r="AI120" s="19">
        <f t="shared" si="128"/>
        <v>0</v>
      </c>
      <c r="AJ120" s="19">
        <f t="shared" si="128"/>
        <v>0</v>
      </c>
      <c r="AK120" s="19">
        <f t="shared" si="128"/>
        <v>421</v>
      </c>
      <c r="AL120" s="19">
        <f t="shared" si="128"/>
        <v>421</v>
      </c>
      <c r="AM120" s="19">
        <f>AM121+AM122+AM124</f>
        <v>87801.843610000011</v>
      </c>
      <c r="AN120" s="19">
        <f t="shared" ref="AN120:AU120" si="129">AN121</f>
        <v>0</v>
      </c>
      <c r="AO120" s="19">
        <f t="shared" si="129"/>
        <v>0</v>
      </c>
      <c r="AP120" s="19">
        <f t="shared" si="129"/>
        <v>0</v>
      </c>
      <c r="AQ120" s="19">
        <f t="shared" si="129"/>
        <v>0</v>
      </c>
      <c r="AR120" s="19">
        <f t="shared" si="129"/>
        <v>0</v>
      </c>
      <c r="AS120" s="19">
        <f t="shared" si="129"/>
        <v>0</v>
      </c>
      <c r="AT120" s="19">
        <f t="shared" si="129"/>
        <v>0</v>
      </c>
      <c r="AU120" s="19">
        <f t="shared" si="129"/>
        <v>0</v>
      </c>
      <c r="AV120" s="19">
        <f>AV121</f>
        <v>0</v>
      </c>
      <c r="AW120" s="19">
        <f>AW121+AW122+AW124+AW123</f>
        <v>38040.957619999994</v>
      </c>
      <c r="AX120" s="19">
        <f t="shared" ref="AX120:BG120" si="130">AX121</f>
        <v>0</v>
      </c>
      <c r="AY120" s="19">
        <f>AY121</f>
        <v>0</v>
      </c>
      <c r="AZ120" s="19">
        <f>AZ121</f>
        <v>0</v>
      </c>
      <c r="BA120" s="19">
        <f t="shared" si="130"/>
        <v>0</v>
      </c>
      <c r="BB120" s="19">
        <f t="shared" si="130"/>
        <v>0</v>
      </c>
      <c r="BC120" s="19">
        <f t="shared" si="130"/>
        <v>0</v>
      </c>
      <c r="BD120" s="19">
        <f t="shared" si="130"/>
        <v>0</v>
      </c>
      <c r="BE120" s="19">
        <f>BE121</f>
        <v>0</v>
      </c>
      <c r="BF120" s="19">
        <f>BF121+BF122+BF124+BF123</f>
        <v>64250.592539999998</v>
      </c>
      <c r="BG120" s="19">
        <f t="shared" si="130"/>
        <v>0</v>
      </c>
      <c r="BH120" s="19">
        <f>BH121</f>
        <v>0</v>
      </c>
      <c r="BI120" s="19">
        <f>BI121</f>
        <v>0</v>
      </c>
      <c r="BJ120" s="20">
        <f>BJ121</f>
        <v>0</v>
      </c>
      <c r="BK120" s="21">
        <f>BK121</f>
        <v>0</v>
      </c>
      <c r="BL120" s="19">
        <f>BL121</f>
        <v>0</v>
      </c>
      <c r="BM120" s="19">
        <f t="shared" ref="BM120" si="131">BM121</f>
        <v>0</v>
      </c>
      <c r="BN120" s="19">
        <f>BN121</f>
        <v>0</v>
      </c>
      <c r="BO120" s="19">
        <f>BO121+BO122+BO124+BO123</f>
        <v>14598.988679999999</v>
      </c>
      <c r="BP120" s="19">
        <f t="shared" ref="BP120" si="132">BP121</f>
        <v>0</v>
      </c>
      <c r="BQ120" s="19">
        <f>BQ121</f>
        <v>0</v>
      </c>
      <c r="BR120" s="19">
        <f>BR121</f>
        <v>0</v>
      </c>
      <c r="BS120" s="21"/>
      <c r="BT120" s="19"/>
      <c r="BU120" s="19"/>
      <c r="BV120" s="23" t="e">
        <f t="shared" si="95"/>
        <v>#DIV/0!</v>
      </c>
      <c r="BW120" s="19"/>
      <c r="BX120" s="23"/>
      <c r="BY120" s="19"/>
      <c r="BZ120" s="23" t="e">
        <f t="shared" si="123"/>
        <v>#DIV/0!</v>
      </c>
      <c r="CA120" s="19"/>
      <c r="CB120" s="23"/>
      <c r="CC120" s="23"/>
      <c r="CD120" s="19"/>
      <c r="CE120" s="23"/>
      <c r="CF120" s="23"/>
      <c r="CG120" s="19"/>
      <c r="CH120" s="23"/>
    </row>
    <row r="121" spans="1:86" ht="22.5" hidden="1" customHeight="1" x14ac:dyDescent="0.25">
      <c r="A121" s="9" t="s">
        <v>266</v>
      </c>
      <c r="B121" s="38" t="s">
        <v>267</v>
      </c>
      <c r="C121" s="23">
        <f>648-648</f>
        <v>0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242.5</v>
      </c>
      <c r="L121" s="23">
        <v>242.53899999999999</v>
      </c>
      <c r="M121" s="23">
        <f>242.539+5707.92458</f>
        <v>5950.4635799999996</v>
      </c>
      <c r="N121" s="23">
        <v>0</v>
      </c>
      <c r="O121" s="23">
        <v>100</v>
      </c>
      <c r="P121" s="23">
        <v>100</v>
      </c>
      <c r="Q121" s="23">
        <v>16793.878639999999</v>
      </c>
      <c r="R121" s="23">
        <v>0</v>
      </c>
      <c r="S121" s="23">
        <v>50</v>
      </c>
      <c r="T121" s="23">
        <v>50</v>
      </c>
      <c r="U121" s="23">
        <f>1134.49161+50</f>
        <v>1184.49161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164562.53552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421</v>
      </c>
      <c r="AL121" s="23">
        <v>421</v>
      </c>
      <c r="AM121" s="23">
        <v>421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/>
      <c r="AT121" s="23"/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  <c r="BH121" s="23">
        <v>0</v>
      </c>
      <c r="BI121" s="23">
        <v>0</v>
      </c>
      <c r="BJ121" s="19"/>
      <c r="BK121" s="22"/>
      <c r="BL121" s="23"/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2"/>
      <c r="BT121" s="23"/>
      <c r="BU121" s="23"/>
      <c r="BV121" s="23" t="e">
        <f t="shared" si="95"/>
        <v>#DIV/0!</v>
      </c>
      <c r="BW121" s="23"/>
      <c r="BX121" s="23"/>
      <c r="BY121" s="23"/>
      <c r="BZ121" s="23" t="e">
        <f t="shared" si="123"/>
        <v>#DIV/0!</v>
      </c>
      <c r="CA121" s="23"/>
      <c r="CB121" s="23"/>
      <c r="CC121" s="23"/>
      <c r="CD121" s="23"/>
      <c r="CE121" s="23"/>
      <c r="CF121" s="23"/>
      <c r="CG121" s="23"/>
      <c r="CH121" s="23"/>
    </row>
    <row r="122" spans="1:86" ht="22.5" hidden="1" customHeight="1" x14ac:dyDescent="0.25">
      <c r="A122" s="9" t="s">
        <v>268</v>
      </c>
      <c r="B122" s="38" t="s">
        <v>269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>
        <v>101664.91533</v>
      </c>
      <c r="N122" s="23"/>
      <c r="O122" s="23"/>
      <c r="P122" s="23"/>
      <c r="Q122" s="23">
        <f>136878.53135-1507.76166+0.03/1000</f>
        <v>135370.76972000001</v>
      </c>
      <c r="R122" s="23"/>
      <c r="S122" s="23"/>
      <c r="T122" s="23"/>
      <c r="U122" s="23"/>
      <c r="V122" s="23"/>
      <c r="W122" s="23"/>
      <c r="X122" s="23"/>
      <c r="Y122" s="23">
        <v>139466.17444</v>
      </c>
      <c r="Z122" s="23"/>
      <c r="AA122" s="23"/>
      <c r="AB122" s="23"/>
      <c r="AC122" s="23">
        <v>8468.9200099999998</v>
      </c>
      <c r="AD122" s="23"/>
      <c r="AE122" s="23"/>
      <c r="AF122" s="23"/>
      <c r="AG122" s="23">
        <v>59608.670980000003</v>
      </c>
      <c r="AH122" s="23"/>
      <c r="AI122" s="23"/>
      <c r="AJ122" s="23"/>
      <c r="AK122" s="23"/>
      <c r="AL122" s="23"/>
      <c r="AM122" s="23">
        <v>46822.54219</v>
      </c>
      <c r="AN122" s="23"/>
      <c r="AO122" s="23"/>
      <c r="AP122" s="23"/>
      <c r="AQ122" s="23"/>
      <c r="AR122" s="23"/>
      <c r="AS122" s="23"/>
      <c r="AT122" s="23"/>
      <c r="AU122" s="23"/>
      <c r="AV122" s="23"/>
      <c r="AW122" s="23">
        <v>38019.117619999997</v>
      </c>
      <c r="AX122" s="23"/>
      <c r="AY122" s="23"/>
      <c r="AZ122" s="23"/>
      <c r="BA122" s="23"/>
      <c r="BB122" s="23"/>
      <c r="BC122" s="23"/>
      <c r="BD122" s="23"/>
      <c r="BE122" s="23"/>
      <c r="BF122" s="23">
        <v>26522.91676</v>
      </c>
      <c r="BG122" s="23"/>
      <c r="BH122" s="23"/>
      <c r="BI122" s="23"/>
      <c r="BJ122" s="19"/>
      <c r="BK122" s="22"/>
      <c r="BL122" s="23"/>
      <c r="BM122" s="23"/>
      <c r="BN122" s="23"/>
      <c r="BO122" s="23">
        <f>14968.69463+73.19832-731.55678-73.19832</f>
        <v>14237.137849999999</v>
      </c>
      <c r="BP122" s="23"/>
      <c r="BQ122" s="23"/>
      <c r="BR122" s="23"/>
      <c r="BS122" s="22"/>
      <c r="BT122" s="23"/>
      <c r="BU122" s="23"/>
      <c r="BV122" s="23" t="e">
        <f t="shared" si="95"/>
        <v>#DIV/0!</v>
      </c>
      <c r="BW122" s="23"/>
      <c r="BX122" s="23"/>
      <c r="BY122" s="23"/>
      <c r="BZ122" s="23" t="e">
        <f t="shared" si="123"/>
        <v>#DIV/0!</v>
      </c>
      <c r="CA122" s="23"/>
      <c r="CB122" s="23"/>
      <c r="CC122" s="23"/>
      <c r="CD122" s="23"/>
      <c r="CE122" s="23"/>
      <c r="CF122" s="23"/>
      <c r="CG122" s="23"/>
      <c r="CH122" s="23"/>
    </row>
    <row r="123" spans="1:86" ht="22.5" hidden="1" customHeight="1" x14ac:dyDescent="0.25">
      <c r="A123" s="9" t="s">
        <v>270</v>
      </c>
      <c r="B123" s="38" t="s">
        <v>271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>
        <v>21.227</v>
      </c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>
        <v>21.84</v>
      </c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19"/>
      <c r="BK123" s="22"/>
      <c r="BL123" s="23"/>
      <c r="BM123" s="23"/>
      <c r="BN123" s="23"/>
      <c r="BO123" s="23">
        <v>48.750900000000001</v>
      </c>
      <c r="BP123" s="23"/>
      <c r="BQ123" s="23"/>
      <c r="BR123" s="23"/>
      <c r="BS123" s="22"/>
      <c r="BT123" s="23"/>
      <c r="BU123" s="23"/>
      <c r="BV123" s="23" t="e">
        <f t="shared" si="95"/>
        <v>#DIV/0!</v>
      </c>
      <c r="BW123" s="23"/>
      <c r="BX123" s="23"/>
      <c r="BY123" s="23"/>
      <c r="BZ123" s="23" t="e">
        <f t="shared" si="123"/>
        <v>#DIV/0!</v>
      </c>
      <c r="CA123" s="23"/>
      <c r="CB123" s="23"/>
      <c r="CC123" s="23"/>
      <c r="CD123" s="23"/>
      <c r="CE123" s="23"/>
      <c r="CF123" s="23"/>
      <c r="CG123" s="23"/>
      <c r="CH123" s="23"/>
    </row>
    <row r="124" spans="1:86" ht="33.75" hidden="1" customHeight="1" x14ac:dyDescent="0.25">
      <c r="A124" s="9" t="s">
        <v>272</v>
      </c>
      <c r="B124" s="38" t="s">
        <v>273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>
        <v>40558.301420000003</v>
      </c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>
        <v>37727.675779999998</v>
      </c>
      <c r="BG124" s="23"/>
      <c r="BH124" s="23"/>
      <c r="BI124" s="23"/>
      <c r="BJ124" s="19"/>
      <c r="BK124" s="22"/>
      <c r="BL124" s="23"/>
      <c r="BM124" s="23"/>
      <c r="BN124" s="23"/>
      <c r="BO124" s="23">
        <v>313.09992999999997</v>
      </c>
      <c r="BP124" s="23"/>
      <c r="BQ124" s="23"/>
      <c r="BR124" s="23"/>
      <c r="BS124" s="22"/>
      <c r="BT124" s="23"/>
      <c r="BU124" s="23"/>
      <c r="BV124" s="23" t="e">
        <f t="shared" si="95"/>
        <v>#DIV/0!</v>
      </c>
      <c r="BW124" s="23"/>
      <c r="BX124" s="23"/>
      <c r="BY124" s="23"/>
      <c r="BZ124" s="23" t="e">
        <f t="shared" si="123"/>
        <v>#DIV/0!</v>
      </c>
      <c r="CA124" s="23"/>
      <c r="CB124" s="23"/>
      <c r="CC124" s="23"/>
      <c r="CD124" s="23"/>
      <c r="CE124" s="23"/>
      <c r="CF124" s="23"/>
      <c r="CG124" s="23"/>
      <c r="CH124" s="23"/>
    </row>
    <row r="125" spans="1:86" ht="22.5" customHeight="1" x14ac:dyDescent="0.25">
      <c r="A125" s="9" t="s">
        <v>274</v>
      </c>
      <c r="B125" s="38" t="s">
        <v>275</v>
      </c>
      <c r="C125" s="23">
        <v>0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23">
        <v>0</v>
      </c>
      <c r="AP125" s="23">
        <v>0</v>
      </c>
      <c r="AQ125" s="23">
        <v>-470.7</v>
      </c>
      <c r="AR125" s="23">
        <v>-470.7</v>
      </c>
      <c r="AS125" s="23">
        <v>-470.7</v>
      </c>
      <c r="AT125" s="23">
        <v>-470.7</v>
      </c>
      <c r="AU125" s="23">
        <v>-470.7</v>
      </c>
      <c r="AV125" s="23">
        <v>-470.71987999999999</v>
      </c>
      <c r="AW125" s="23">
        <v>-470.71987999999999</v>
      </c>
      <c r="AX125" s="23">
        <v>0</v>
      </c>
      <c r="AY125" s="23">
        <v>0</v>
      </c>
      <c r="AZ125" s="23">
        <v>0</v>
      </c>
      <c r="BA125" s="23">
        <v>0</v>
      </c>
      <c r="BB125" s="23">
        <v>0</v>
      </c>
      <c r="BC125" s="23">
        <v>0</v>
      </c>
      <c r="BD125" s="23">
        <v>0</v>
      </c>
      <c r="BE125" s="23">
        <v>0</v>
      </c>
      <c r="BF125" s="23"/>
      <c r="BG125" s="23">
        <v>0</v>
      </c>
      <c r="BH125" s="23">
        <v>0</v>
      </c>
      <c r="BI125" s="23">
        <v>0</v>
      </c>
      <c r="BJ125" s="19"/>
      <c r="BK125" s="22"/>
      <c r="BL125" s="23"/>
      <c r="BM125" s="23">
        <v>0</v>
      </c>
      <c r="BN125" s="23">
        <v>0</v>
      </c>
      <c r="BO125" s="23"/>
      <c r="BP125" s="23">
        <v>0</v>
      </c>
      <c r="BQ125" s="23">
        <v>0</v>
      </c>
      <c r="BR125" s="23">
        <v>0</v>
      </c>
      <c r="BS125" s="22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</row>
    <row r="126" spans="1:86" ht="22.5" customHeight="1" x14ac:dyDescent="0.25">
      <c r="A126" s="8" t="s">
        <v>276</v>
      </c>
      <c r="B126" s="8"/>
      <c r="C126" s="19">
        <f t="shared" ref="C126:BN126" si="133">+C68+C6</f>
        <v>47558.023929999996</v>
      </c>
      <c r="D126" s="19">
        <f t="shared" si="133"/>
        <v>39079.600000000006</v>
      </c>
      <c r="E126" s="19">
        <f t="shared" si="133"/>
        <v>65432.3</v>
      </c>
      <c r="F126" s="19">
        <f t="shared" si="133"/>
        <v>61313.054100000001</v>
      </c>
      <c r="G126" s="19">
        <f t="shared" si="133"/>
        <v>43106.9</v>
      </c>
      <c r="H126" s="19">
        <f t="shared" si="133"/>
        <v>53136.200000000004</v>
      </c>
      <c r="I126" s="19">
        <f t="shared" si="133"/>
        <v>52322.151769999997</v>
      </c>
      <c r="J126" s="19">
        <f t="shared" si="133"/>
        <v>43424.4</v>
      </c>
      <c r="K126" s="19">
        <f t="shared" si="133"/>
        <v>50857</v>
      </c>
      <c r="L126" s="19">
        <f t="shared" si="133"/>
        <v>50257.007689999999</v>
      </c>
      <c r="M126" s="19">
        <f t="shared" si="133"/>
        <v>156364.17963000003</v>
      </c>
      <c r="N126" s="19">
        <f t="shared" si="133"/>
        <v>44290.3</v>
      </c>
      <c r="O126" s="19">
        <f t="shared" si="133"/>
        <v>56810.9</v>
      </c>
      <c r="P126" s="19">
        <f t="shared" si="133"/>
        <v>55330.346720000001</v>
      </c>
      <c r="Q126" s="19">
        <f t="shared" si="133"/>
        <v>163494.12627000001</v>
      </c>
      <c r="R126" s="19">
        <f t="shared" si="133"/>
        <v>54924.4</v>
      </c>
      <c r="S126" s="19">
        <f t="shared" si="133"/>
        <v>59194</v>
      </c>
      <c r="T126" s="19">
        <f t="shared" si="133"/>
        <v>59255.160210000002</v>
      </c>
      <c r="U126" s="19">
        <f t="shared" si="133"/>
        <v>125251.30763</v>
      </c>
      <c r="V126" s="19">
        <f t="shared" si="133"/>
        <v>48401.302009999999</v>
      </c>
      <c r="W126" s="19">
        <f t="shared" si="133"/>
        <v>75778.100000000006</v>
      </c>
      <c r="X126" s="19">
        <f t="shared" si="133"/>
        <v>75853.324210000006</v>
      </c>
      <c r="Y126" s="19">
        <f t="shared" si="133"/>
        <v>215280.99731000001</v>
      </c>
      <c r="Z126" s="19">
        <f t="shared" si="133"/>
        <v>47377.702010000001</v>
      </c>
      <c r="AA126" s="19">
        <f t="shared" si="133"/>
        <v>58040.439999999995</v>
      </c>
      <c r="AB126" s="19">
        <f t="shared" si="133"/>
        <v>59416.625889999996</v>
      </c>
      <c r="AC126" s="19">
        <f t="shared" si="133"/>
        <v>234647.80937999999</v>
      </c>
      <c r="AD126" s="19">
        <f t="shared" si="133"/>
        <v>49649.102010000002</v>
      </c>
      <c r="AE126" s="19">
        <f t="shared" si="133"/>
        <v>61107.199999999997</v>
      </c>
      <c r="AF126" s="19">
        <f t="shared" si="133"/>
        <v>61617.876949999991</v>
      </c>
      <c r="AG126" s="19">
        <f t="shared" si="133"/>
        <v>89249.060919999989</v>
      </c>
      <c r="AH126" s="19">
        <f t="shared" si="133"/>
        <v>54211.402010000005</v>
      </c>
      <c r="AI126" s="19">
        <f t="shared" si="133"/>
        <v>53303.802009999999</v>
      </c>
      <c r="AJ126" s="19">
        <f t="shared" si="133"/>
        <v>53316.902009999998</v>
      </c>
      <c r="AK126" s="19">
        <f t="shared" si="133"/>
        <v>100905.9</v>
      </c>
      <c r="AL126" s="19">
        <f t="shared" si="133"/>
        <v>100981.48639000001</v>
      </c>
      <c r="AM126" s="19">
        <f t="shared" si="133"/>
        <v>267888.34791999997</v>
      </c>
      <c r="AN126" s="19">
        <f t="shared" si="133"/>
        <v>51967.002010000004</v>
      </c>
      <c r="AO126" s="19">
        <f t="shared" si="133"/>
        <v>51973.002010000004</v>
      </c>
      <c r="AP126" s="19">
        <f t="shared" si="133"/>
        <v>51979.002010000004</v>
      </c>
      <c r="AQ126" s="19">
        <f t="shared" si="133"/>
        <v>66743.399999999994</v>
      </c>
      <c r="AR126" s="19">
        <f t="shared" si="133"/>
        <v>71002.8</v>
      </c>
      <c r="AS126" s="19">
        <f t="shared" si="133"/>
        <v>65726.100000000006</v>
      </c>
      <c r="AT126" s="19">
        <f t="shared" si="133"/>
        <v>69012.400000000009</v>
      </c>
      <c r="AU126" s="19">
        <f t="shared" si="133"/>
        <v>76253.700000000012</v>
      </c>
      <c r="AV126" s="19">
        <f t="shared" si="133"/>
        <v>77475.654390000011</v>
      </c>
      <c r="AW126" s="19">
        <f t="shared" si="133"/>
        <v>107298.8652</v>
      </c>
      <c r="AX126" s="19">
        <f t="shared" si="133"/>
        <v>66286.602010000002</v>
      </c>
      <c r="AY126" s="19">
        <f t="shared" si="133"/>
        <v>50940.402010000005</v>
      </c>
      <c r="AZ126" s="19">
        <f t="shared" si="133"/>
        <v>50956.702010000001</v>
      </c>
      <c r="BA126" s="19">
        <f t="shared" si="133"/>
        <v>71202.600000000006</v>
      </c>
      <c r="BB126" s="19">
        <f t="shared" si="133"/>
        <v>77780.5</v>
      </c>
      <c r="BC126" s="19">
        <f t="shared" si="133"/>
        <v>67213.100000000006</v>
      </c>
      <c r="BD126" s="19">
        <f t="shared" si="133"/>
        <v>92731.8</v>
      </c>
      <c r="BE126" s="19">
        <f t="shared" si="133"/>
        <v>93753.443560000014</v>
      </c>
      <c r="BF126" s="19">
        <f t="shared" si="133"/>
        <v>132028.51546000002</v>
      </c>
      <c r="BG126" s="19">
        <f t="shared" si="133"/>
        <v>65068.802009999999</v>
      </c>
      <c r="BH126" s="19">
        <f t="shared" si="133"/>
        <v>57541.602010000002</v>
      </c>
      <c r="BI126" s="19">
        <f t="shared" si="133"/>
        <v>57565.702010000001</v>
      </c>
      <c r="BJ126" s="19">
        <f t="shared" si="133"/>
        <v>67361.400000000009</v>
      </c>
      <c r="BK126" s="19">
        <f t="shared" si="133"/>
        <v>87520</v>
      </c>
      <c r="BL126" s="19">
        <f t="shared" si="133"/>
        <v>103741.1</v>
      </c>
      <c r="BM126" s="19">
        <f t="shared" si="133"/>
        <v>102296.70201000001</v>
      </c>
      <c r="BN126" s="19">
        <f t="shared" si="133"/>
        <v>106340.91590999998</v>
      </c>
      <c r="BO126" s="19">
        <f>+BO68+BO6</f>
        <v>114013.58436999998</v>
      </c>
      <c r="BP126" s="19">
        <f t="shared" ref="BP126" si="134">+BP68+BP6</f>
        <v>72244.902009999991</v>
      </c>
      <c r="BQ126" s="19">
        <f>+BQ68+BQ6</f>
        <v>62124.102010000002</v>
      </c>
      <c r="BR126" s="19">
        <f>+BR68+BR6</f>
        <v>62199.602010000002</v>
      </c>
      <c r="BS126" s="19">
        <f>+BS68+BS6</f>
        <v>73156.099999999991</v>
      </c>
      <c r="BT126" s="19">
        <f>+BT68+BT6</f>
        <v>102750.29999999999</v>
      </c>
      <c r="BU126" s="19">
        <f>+BU68+BU6</f>
        <v>104672.5</v>
      </c>
      <c r="BV126" s="23">
        <f t="shared" si="95"/>
        <v>113.42614401352019</v>
      </c>
      <c r="BW126" s="19">
        <f>+BW68+BW6</f>
        <v>64010.499999999993</v>
      </c>
      <c r="BX126" s="23">
        <f t="shared" si="96"/>
        <v>60.237862885353209</v>
      </c>
      <c r="BY126" s="19">
        <f>+BY68+BY6</f>
        <v>106262.9</v>
      </c>
      <c r="BZ126" s="23">
        <f>BY126/BN126*100</f>
        <v>99.926636037190036</v>
      </c>
      <c r="CA126" s="19">
        <f t="shared" ref="CA126" si="135">+CA68+CA6</f>
        <v>70216.802010000014</v>
      </c>
      <c r="CB126" s="23">
        <f>CA126/BY126*100</f>
        <v>66.078379199137245</v>
      </c>
      <c r="CC126" s="23">
        <f>CA126/BQ126*100</f>
        <v>113.02666716807809</v>
      </c>
      <c r="CD126" s="19">
        <f>+CD68+CD6</f>
        <v>68630.602010000002</v>
      </c>
      <c r="CE126" s="23">
        <f t="shared" si="98"/>
        <v>97.740996521353807</v>
      </c>
      <c r="CF126" s="23">
        <f>CD126/BR126*100</f>
        <v>110.33929445234403</v>
      </c>
      <c r="CG126" s="19">
        <f>+CG68+CG6</f>
        <v>70146.402009999991</v>
      </c>
      <c r="CH126" s="23">
        <f t="shared" si="127"/>
        <v>102.20863573334111</v>
      </c>
    </row>
    <row r="127" spans="1:86" ht="32.25" hidden="1" customHeight="1" x14ac:dyDescent="0.25">
      <c r="A127" s="42" t="s">
        <v>277</v>
      </c>
      <c r="B127" s="19"/>
      <c r="C127" s="19">
        <f t="shared" ref="C127:BM127" si="136">C73/(C126-C88)*100</f>
        <v>45.157166905986209</v>
      </c>
      <c r="D127" s="19">
        <f t="shared" si="136"/>
        <v>65.248416779923957</v>
      </c>
      <c r="E127" s="19">
        <f t="shared" si="136"/>
        <v>51.342959910171146</v>
      </c>
      <c r="F127" s="19">
        <f t="shared" si="136"/>
        <v>54.826345240223972</v>
      </c>
      <c r="G127" s="19">
        <f t="shared" si="136"/>
        <v>55.228252756791662</v>
      </c>
      <c r="H127" s="19">
        <f t="shared" si="136"/>
        <v>50.852085938301684</v>
      </c>
      <c r="I127" s="19">
        <f t="shared" si="136"/>
        <v>51.651095349681682</v>
      </c>
      <c r="J127" s="19">
        <f t="shared" si="136"/>
        <v>59.066079999247869</v>
      </c>
      <c r="K127" s="19">
        <f t="shared" si="136"/>
        <v>60.251510664692468</v>
      </c>
      <c r="L127" s="19">
        <f t="shared" si="136"/>
        <v>60.983554032898645</v>
      </c>
      <c r="M127" s="19">
        <f t="shared" si="136"/>
        <v>19.366774422910954</v>
      </c>
      <c r="N127" s="19">
        <f t="shared" si="136"/>
        <v>58.48050066452759</v>
      </c>
      <c r="O127" s="19">
        <f t="shared" si="136"/>
        <v>44.30545778569838</v>
      </c>
      <c r="P127" s="19">
        <f t="shared" si="136"/>
        <v>45.506240858334181</v>
      </c>
      <c r="Q127" s="19">
        <f t="shared" si="136"/>
        <v>15.271251788740214</v>
      </c>
      <c r="R127" s="19">
        <f t="shared" si="136"/>
        <v>45.889361418625569</v>
      </c>
      <c r="S127" s="19">
        <f t="shared" si="136"/>
        <v>43.591670794827557</v>
      </c>
      <c r="T127" s="19">
        <f t="shared" si="136"/>
        <v>43.546125106230107</v>
      </c>
      <c r="U127" s="19">
        <f t="shared" si="136"/>
        <v>20.480992467232923</v>
      </c>
      <c r="V127" s="19">
        <f t="shared" si="136"/>
        <v>53.798658598648665</v>
      </c>
      <c r="W127" s="19">
        <f t="shared" si="136"/>
        <v>41.797726249586667</v>
      </c>
      <c r="X127" s="19">
        <f t="shared" si="136"/>
        <v>41.756013869902588</v>
      </c>
      <c r="Y127" s="19">
        <f t="shared" si="136"/>
        <v>14.65272371330675</v>
      </c>
      <c r="Z127" s="19">
        <f t="shared" si="136"/>
        <v>57.838402601848628</v>
      </c>
      <c r="AA127" s="19">
        <f t="shared" si="136"/>
        <v>54.992649179940436</v>
      </c>
      <c r="AB127" s="19">
        <f t="shared" si="136"/>
        <v>53.708283964642142</v>
      </c>
      <c r="AC127" s="19">
        <f t="shared" si="136"/>
        <v>13.514873730847629</v>
      </c>
      <c r="AD127" s="19">
        <f t="shared" si="136"/>
        <v>52.166716770495889</v>
      </c>
      <c r="AE127" s="19">
        <f t="shared" si="136"/>
        <v>43.260247099503623</v>
      </c>
      <c r="AF127" s="19">
        <f t="shared" si="136"/>
        <v>42.898429960861037</v>
      </c>
      <c r="AG127" s="19">
        <f t="shared" si="136"/>
        <v>29.535090041559169</v>
      </c>
      <c r="AH127" s="19">
        <f t="shared" si="136"/>
        <v>47.792818283124198</v>
      </c>
      <c r="AI127" s="19">
        <f t="shared" si="136"/>
        <v>48.338822615322442</v>
      </c>
      <c r="AJ127" s="19">
        <f t="shared" si="136"/>
        <v>48.270578501134324</v>
      </c>
      <c r="AK127" s="19">
        <f t="shared" si="136"/>
        <v>25.212435501750523</v>
      </c>
      <c r="AL127" s="19">
        <f t="shared" si="136"/>
        <v>25.193492141811035</v>
      </c>
      <c r="AM127" s="19">
        <f t="shared" si="136"/>
        <v>9.4619494863721254</v>
      </c>
      <c r="AN127" s="19">
        <f t="shared" si="136"/>
        <v>51.892410422106124</v>
      </c>
      <c r="AO127" s="19">
        <f t="shared" si="136"/>
        <v>51.886353649543416</v>
      </c>
      <c r="AP127" s="19">
        <f t="shared" si="136"/>
        <v>51.880298290683115</v>
      </c>
      <c r="AQ127" s="19">
        <f t="shared" si="136"/>
        <v>42.305929199389404</v>
      </c>
      <c r="AR127" s="19">
        <f t="shared" si="136"/>
        <v>42.587236365031835</v>
      </c>
      <c r="AS127" s="19">
        <f t="shared" si="136"/>
        <v>28.705710106992417</v>
      </c>
      <c r="AT127" s="19">
        <f t="shared" si="136"/>
        <v>27.324709850445615</v>
      </c>
      <c r="AU127" s="19">
        <f t="shared" si="136"/>
        <v>24.705728191192957</v>
      </c>
      <c r="AV127" s="19">
        <f t="shared" si="136"/>
        <v>24.312492425132483</v>
      </c>
      <c r="AW127" s="19">
        <f t="shared" si="136"/>
        <v>17.510398660201492</v>
      </c>
      <c r="AX127" s="19">
        <f t="shared" si="136"/>
        <v>29.144040186705507</v>
      </c>
      <c r="AY127" s="19">
        <f t="shared" si="136"/>
        <v>37.039898373600209</v>
      </c>
      <c r="AZ127" s="19">
        <f t="shared" si="136"/>
        <v>39.133102855522637</v>
      </c>
      <c r="BA127" s="19">
        <f t="shared" si="136"/>
        <v>27.114831973418273</v>
      </c>
      <c r="BB127" s="19">
        <f t="shared" si="136"/>
        <v>24.803971869380227</v>
      </c>
      <c r="BC127" s="19">
        <f t="shared" si="136"/>
        <v>28.762576979301414</v>
      </c>
      <c r="BD127" s="19">
        <f t="shared" si="136"/>
        <v>20.791322215319923</v>
      </c>
      <c r="BE127" s="19">
        <f t="shared" si="136"/>
        <v>20.563169878436668</v>
      </c>
      <c r="BF127" s="19">
        <f t="shared" si="136"/>
        <v>14.572275214476921</v>
      </c>
      <c r="BG127" s="19">
        <f t="shared" si="136"/>
        <v>31.528978633764204</v>
      </c>
      <c r="BH127" s="19">
        <f t="shared" si="136"/>
        <v>35.495920564012366</v>
      </c>
      <c r="BI127" s="19">
        <f t="shared" si="136"/>
        <v>36.081211599871217</v>
      </c>
      <c r="BJ127" s="19">
        <f t="shared" si="136"/>
        <v>30.444606818614879</v>
      </c>
      <c r="BK127" s="19">
        <f t="shared" si="136"/>
        <v>23.378635899633846</v>
      </c>
      <c r="BL127" s="19">
        <f t="shared" si="136"/>
        <v>19.751219412442335</v>
      </c>
      <c r="BM127" s="19">
        <f t="shared" si="136"/>
        <v>20.036396739926776</v>
      </c>
      <c r="BN127" s="19">
        <f>BN73/(BN126-BN88)*100</f>
        <v>19.263528063834677</v>
      </c>
      <c r="BO127" s="19">
        <f>BO73/(BO126-BO88)*100</f>
        <v>17.955139570613191</v>
      </c>
      <c r="BP127" s="19">
        <f t="shared" ref="BP127" si="137">BP73/(BP126-BP88)*100</f>
        <v>23.041617932661097</v>
      </c>
      <c r="BQ127" s="19">
        <f>BQ73/(BQ126-BQ88)*100</f>
        <v>28.667915035632969</v>
      </c>
      <c r="BR127" s="19">
        <f>BR73/(BR126-BR88)*100</f>
        <v>31.468718946221021</v>
      </c>
      <c r="BS127" s="19">
        <f>BS73/(BS126-BS88)*100</f>
        <v>22.751272264631051</v>
      </c>
      <c r="BT127" s="19">
        <f>BT73/(BT126-BT88)*100</f>
        <v>16.144160021666991</v>
      </c>
      <c r="BU127" s="19">
        <f>BU73/(BU126-BU88)*100</f>
        <v>15.838344807393739</v>
      </c>
      <c r="BV127" s="19"/>
      <c r="BW127" s="19">
        <f>BW73/(BW126-BW88)*100</f>
        <v>20.76136302690152</v>
      </c>
      <c r="BX127" s="23">
        <f t="shared" si="96"/>
        <v>133.09078162935936</v>
      </c>
      <c r="BY127" s="19">
        <f>BY73/(BY126-BY88)*100</f>
        <v>15.59939972756283</v>
      </c>
      <c r="BZ127" s="23">
        <f>BY127/BN127*100</f>
        <v>80.97893426308093</v>
      </c>
      <c r="CA127" s="19">
        <f t="shared" ref="CA127" si="138">CA73/(CA126-CA88)*100</f>
        <v>29.640169259642356</v>
      </c>
      <c r="CB127" s="23">
        <f>CA127/BY127*100</f>
        <v>190.00839633124258</v>
      </c>
      <c r="CC127" s="23">
        <f>CA127/BQ127*100</f>
        <v>103.39143681290012</v>
      </c>
      <c r="CD127" s="19">
        <f>CD73/(CD126-CD88)*100</f>
        <v>31.539926196196678</v>
      </c>
      <c r="CE127" s="23">
        <f t="shared" si="98"/>
        <v>106.40939975717684</v>
      </c>
      <c r="CF127" s="23">
        <f>CD127/BR127*100</f>
        <v>100.22627946850125</v>
      </c>
      <c r="CG127" s="19">
        <f>CG73/(CG126-CG88)*100</f>
        <v>30.993265871227571</v>
      </c>
      <c r="CH127" s="23">
        <f t="shared" si="127"/>
        <v>98.266767266452803</v>
      </c>
    </row>
    <row r="128" spans="1:86" ht="22.5" hidden="1" customHeight="1" x14ac:dyDescent="0.25">
      <c r="A128" s="43"/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 t="e">
        <f>#REF!-S126</f>
        <v>#REF!</v>
      </c>
      <c r="T128" s="44"/>
      <c r="U128" s="44"/>
      <c r="V128" s="44"/>
      <c r="W128" s="44" t="e">
        <f>#REF!-W126</f>
        <v>#REF!</v>
      </c>
      <c r="X128" s="44" t="e">
        <f>X126-#REF!</f>
        <v>#REF!</v>
      </c>
      <c r="Y128" s="44" t="e">
        <f>Y126-#REF!</f>
        <v>#REF!</v>
      </c>
      <c r="Z128" s="44"/>
      <c r="AA128" s="44" t="e">
        <f>#REF!-AA126</f>
        <v>#REF!</v>
      </c>
      <c r="AB128" s="44" t="e">
        <f>AB126-#REF!</f>
        <v>#REF!</v>
      </c>
      <c r="AC128" s="44" t="e">
        <f>AC126-#REF!</f>
        <v>#REF!</v>
      </c>
      <c r="AD128" s="44"/>
      <c r="AE128" s="44" t="e">
        <f>#REF!-AE126</f>
        <v>#REF!</v>
      </c>
      <c r="AF128" s="44" t="e">
        <f>AF126-#REF!</f>
        <v>#REF!</v>
      </c>
      <c r="AG128" s="44" t="e">
        <f>AG126-#REF!</f>
        <v>#REF!</v>
      </c>
      <c r="AH128" s="44" t="e">
        <f>#REF!-AH126</f>
        <v>#REF!</v>
      </c>
      <c r="AI128" s="44" t="e">
        <f>#REF!-AI126</f>
        <v>#REF!</v>
      </c>
      <c r="AJ128" s="44" t="e">
        <f>#REF!-AJ126</f>
        <v>#REF!</v>
      </c>
      <c r="AK128" s="44" t="e">
        <f>#REF!-AK126</f>
        <v>#REF!</v>
      </c>
      <c r="AL128" s="45" t="e">
        <f>AL126-#REF!</f>
        <v>#REF!</v>
      </c>
      <c r="AM128" s="44" t="e">
        <f>AM126-#REF!</f>
        <v>#REF!</v>
      </c>
      <c r="AN128" s="44" t="e">
        <f>#REF!-AN126</f>
        <v>#REF!</v>
      </c>
      <c r="AO128" s="44" t="e">
        <f>#REF!-AO126</f>
        <v>#REF!</v>
      </c>
      <c r="AP128" s="44" t="e">
        <f>#REF!-AP126</f>
        <v>#REF!</v>
      </c>
      <c r="AQ128" s="44" t="e">
        <f>#REF!-AQ126</f>
        <v>#REF!</v>
      </c>
      <c r="AR128" s="44" t="e">
        <f>#REF!-AR126</f>
        <v>#REF!</v>
      </c>
      <c r="AS128" s="44" t="e">
        <f>#REF!-AS126</f>
        <v>#REF!</v>
      </c>
      <c r="AT128" s="45" t="e">
        <f>AT126-#REF!</f>
        <v>#REF!</v>
      </c>
      <c r="AU128" s="45" t="e">
        <f>AU126-#REF!</f>
        <v>#REF!</v>
      </c>
      <c r="AV128" s="46" t="e">
        <f>AV126-#REF!</f>
        <v>#REF!</v>
      </c>
      <c r="AW128" s="44" t="e">
        <f>AW126-#REF!</f>
        <v>#REF!</v>
      </c>
      <c r="AX128" s="44" t="e">
        <f>#REF!-AX126</f>
        <v>#REF!</v>
      </c>
      <c r="AY128" s="44" t="e">
        <f>#REF!-AY126</f>
        <v>#REF!</v>
      </c>
      <c r="AZ128" s="44" t="e">
        <f>#REF!-AZ126</f>
        <v>#REF!</v>
      </c>
      <c r="BA128" s="44" t="e">
        <f>#REF!-BA126</f>
        <v>#REF!</v>
      </c>
      <c r="BB128" s="44" t="e">
        <f>#REF!-BB126</f>
        <v>#REF!</v>
      </c>
      <c r="BC128" s="44" t="e">
        <f>#REF!-BC126</f>
        <v>#REF!</v>
      </c>
      <c r="BD128" s="44" t="e">
        <f>#REF!-BD126</f>
        <v>#REF!</v>
      </c>
      <c r="BE128" s="44" t="e">
        <f>#REF!-BE126</f>
        <v>#REF!</v>
      </c>
      <c r="BF128" s="44" t="e">
        <f>BF126-#REF!</f>
        <v>#REF!</v>
      </c>
      <c r="BG128" s="44" t="e">
        <f>#REF!-BG126</f>
        <v>#REF!</v>
      </c>
      <c r="BH128" s="44" t="e">
        <f>#REF!-BH126</f>
        <v>#REF!</v>
      </c>
      <c r="BI128" s="44" t="e">
        <f>#REF!-BI126</f>
        <v>#REF!</v>
      </c>
      <c r="BJ128" s="47" t="e">
        <f>#REF!-BJ126</f>
        <v>#REF!</v>
      </c>
      <c r="BK128" s="47" t="e">
        <f>#REF!-BK126</f>
        <v>#REF!</v>
      </c>
      <c r="BL128" s="44" t="e">
        <f>#REF!-BL126</f>
        <v>#REF!</v>
      </c>
      <c r="BM128" s="44" t="e">
        <f>#REF!-BM126</f>
        <v>#REF!</v>
      </c>
      <c r="BN128" s="44" t="e">
        <f>#REF!-BN126</f>
        <v>#REF!</v>
      </c>
      <c r="BO128" s="44" t="e">
        <f>BO126-#REF!</f>
        <v>#REF!</v>
      </c>
      <c r="BP128" s="44" t="e">
        <f>#REF!-BP126</f>
        <v>#REF!</v>
      </c>
      <c r="BQ128" s="44" t="e">
        <f>#REF!-BQ126</f>
        <v>#REF!</v>
      </c>
      <c r="BR128" s="44" t="e">
        <f>#REF!-BR126</f>
        <v>#REF!</v>
      </c>
      <c r="BS128" s="47" t="e">
        <f>#REF!-BS126</f>
        <v>#REF!</v>
      </c>
      <c r="BT128" s="44" t="e">
        <f>#REF!-BT126</f>
        <v>#REF!</v>
      </c>
      <c r="BU128" s="44" t="e">
        <f>#REF!-BU126</f>
        <v>#REF!</v>
      </c>
      <c r="BV128" s="44"/>
      <c r="BW128" s="44" t="e">
        <f>#REF!-BW126</f>
        <v>#REF!</v>
      </c>
      <c r="BX128" s="23" t="e">
        <f t="shared" si="96"/>
        <v>#REF!</v>
      </c>
      <c r="BY128" s="44" t="e">
        <f>#REF!-BY126</f>
        <v>#REF!</v>
      </c>
      <c r="BZ128" s="23" t="e">
        <f>BY128/BN128*100</f>
        <v>#REF!</v>
      </c>
      <c r="CA128" s="44" t="e">
        <f>#REF!-CA126</f>
        <v>#REF!</v>
      </c>
      <c r="CB128" s="23" t="e">
        <f>CA128/BY128*100</f>
        <v>#REF!</v>
      </c>
      <c r="CC128" s="23" t="e">
        <f>CA128/BQ128*100</f>
        <v>#REF!</v>
      </c>
      <c r="CD128" s="44" t="e">
        <f>#REF!-CD126</f>
        <v>#REF!</v>
      </c>
      <c r="CE128" s="23" t="e">
        <f t="shared" si="98"/>
        <v>#REF!</v>
      </c>
      <c r="CF128" s="23" t="e">
        <f>CD128/BR128*100</f>
        <v>#REF!</v>
      </c>
      <c r="CG128" s="44" t="e">
        <f>#REF!-CG126</f>
        <v>#REF!</v>
      </c>
      <c r="CH128" s="23" t="e">
        <f t="shared" si="127"/>
        <v>#REF!</v>
      </c>
    </row>
    <row r="129" spans="1:86" ht="22.5" customHeight="1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</row>
    <row r="130" spans="1:86" ht="22.5" customHeight="1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</row>
    <row r="131" spans="1:86" ht="22.5" customHeight="1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</row>
    <row r="132" spans="1:86" ht="22.5" customHeight="1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</row>
    <row r="133" spans="1:86" ht="22.5" customHeight="1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</row>
    <row r="134" spans="1:86" ht="22.5" customHeight="1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</row>
    <row r="135" spans="1:86" ht="22.5" customHeight="1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</row>
    <row r="136" spans="1:86" ht="22.5" customHeight="1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</row>
    <row r="137" spans="1:86" ht="22.5" customHeight="1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</row>
    <row r="138" spans="1:86" ht="22.5" customHeight="1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</row>
    <row r="139" spans="1:86" ht="22.5" customHeight="1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</row>
    <row r="140" spans="1:86" ht="22.5" customHeight="1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</row>
    <row r="141" spans="1:86" ht="22.5" customHeight="1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</row>
  </sheetData>
  <mergeCells count="21">
    <mergeCell ref="BY4:BY5"/>
    <mergeCell ref="CA4:CH4"/>
    <mergeCell ref="BZ4:BZ5"/>
    <mergeCell ref="BV4:BV5"/>
    <mergeCell ref="BJ4:BJ5"/>
    <mergeCell ref="BK4:BK5"/>
    <mergeCell ref="BL4:BL5"/>
    <mergeCell ref="BM4:BM5"/>
    <mergeCell ref="BN4:BN5"/>
    <mergeCell ref="BO4:BO5"/>
    <mergeCell ref="B4:B5"/>
    <mergeCell ref="A4:A5"/>
    <mergeCell ref="BP4:BR4"/>
    <mergeCell ref="BW4:BW5"/>
    <mergeCell ref="BX4:BX5"/>
    <mergeCell ref="AL4:AL5"/>
    <mergeCell ref="AV4:AV5"/>
    <mergeCell ref="AX4:AZ4"/>
    <mergeCell ref="BE4:BE5"/>
    <mergeCell ref="BF4:BF5"/>
    <mergeCell ref="BG4:BI4"/>
  </mergeCells>
  <pageMargins left="0.59055118110236227" right="0" top="0" bottom="0" header="0" footer="0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8"/>
  <sheetViews>
    <sheetView tabSelected="1" topLeftCell="A2" zoomScale="140" zoomScaleNormal="140" workbookViewId="0">
      <pane xSplit="3" ySplit="3" topLeftCell="D32" activePane="bottomRight" state="frozen"/>
      <selection activeCell="A2" sqref="A2"/>
      <selection pane="topRight" activeCell="D2" sqref="D2"/>
      <selection pane="bottomLeft" activeCell="A5" sqref="A5"/>
      <selection pane="bottomRight" activeCell="A2" sqref="A2:AG49"/>
    </sheetView>
  </sheetViews>
  <sheetFormatPr defaultRowHeight="11.25" x14ac:dyDescent="0.2"/>
  <cols>
    <col min="1" max="1" width="20.28515625" style="59" customWidth="1"/>
    <col min="2" max="2" width="3.85546875" style="59" customWidth="1"/>
    <col min="3" max="3" width="3" style="63" customWidth="1"/>
    <col min="4" max="4" width="8.140625" style="63" hidden="1" customWidth="1"/>
    <col min="5" max="5" width="7.5703125" style="63" hidden="1" customWidth="1"/>
    <col min="6" max="6" width="7.85546875" style="59" hidden="1" customWidth="1"/>
    <col min="7" max="7" width="7.5703125" style="60" hidden="1" customWidth="1"/>
    <col min="8" max="8" width="9.28515625" style="59" hidden="1" customWidth="1"/>
    <col min="9" max="9" width="8.85546875" style="59" hidden="1" customWidth="1"/>
    <col min="10" max="10" width="8.42578125" style="61" hidden="1" customWidth="1"/>
    <col min="11" max="11" width="8.28515625" style="62" hidden="1" customWidth="1"/>
    <col min="12" max="12" width="8.140625" style="63" hidden="1" customWidth="1"/>
    <col min="13" max="13" width="8.42578125" style="60" hidden="1" customWidth="1"/>
    <col min="14" max="14" width="7.5703125" style="59" hidden="1" customWidth="1"/>
    <col min="15" max="15" width="6.5703125" style="59" customWidth="1"/>
    <col min="16" max="16" width="7.42578125" style="59" customWidth="1"/>
    <col min="17" max="17" width="6.85546875" style="59" customWidth="1"/>
    <col min="18" max="18" width="6.85546875" style="59" hidden="1" customWidth="1"/>
    <col min="19" max="19" width="7.42578125" style="59" hidden="1" customWidth="1"/>
    <col min="20" max="21" width="6.85546875" style="59" customWidth="1"/>
    <col min="22" max="22" width="7.5703125" style="59" customWidth="1"/>
    <col min="23" max="30" width="6.85546875" style="59" customWidth="1"/>
    <col min="31" max="31" width="6.85546875" style="59" hidden="1" customWidth="1"/>
    <col min="32" max="32" width="7" style="64" hidden="1" customWidth="1"/>
    <col min="33" max="33" width="6.42578125" style="64" hidden="1" customWidth="1"/>
    <col min="34" max="77" width="9.140625" style="59"/>
    <col min="78" max="78" width="18.5703125" style="59" customWidth="1"/>
    <col min="79" max="79" width="3.5703125" style="59" customWidth="1"/>
    <col min="80" max="80" width="3" style="59" customWidth="1"/>
    <col min="81" max="81" width="8.140625" style="59" customWidth="1"/>
    <col min="82" max="87" width="0" style="59" hidden="1" customWidth="1"/>
    <col min="88" max="88" width="7.5703125" style="59" customWidth="1"/>
    <col min="89" max="109" width="0" style="59" hidden="1" customWidth="1"/>
    <col min="110" max="110" width="7.85546875" style="59" customWidth="1"/>
    <col min="111" max="127" width="0" style="59" hidden="1" customWidth="1"/>
    <col min="128" max="128" width="7.5703125" style="59" customWidth="1"/>
    <col min="129" max="148" width="0" style="59" hidden="1" customWidth="1"/>
    <col min="149" max="149" width="7.5703125" style="59" customWidth="1"/>
    <col min="150" max="168" width="0" style="59" hidden="1" customWidth="1"/>
    <col min="169" max="169" width="8.28515625" style="59" customWidth="1"/>
    <col min="170" max="180" width="0" style="59" hidden="1" customWidth="1"/>
    <col min="181" max="183" width="8.140625" style="59" customWidth="1"/>
    <col min="184" max="184" width="7.42578125" style="59" customWidth="1"/>
    <col min="185" max="185" width="5.7109375" style="59" customWidth="1"/>
    <col min="186" max="186" width="6.42578125" style="59" customWidth="1"/>
    <col min="187" max="187" width="5.7109375" style="59" customWidth="1"/>
    <col min="188" max="188" width="5.42578125" style="59" customWidth="1"/>
    <col min="189" max="189" width="5.28515625" style="59" customWidth="1"/>
    <col min="190" max="190" width="5.42578125" style="59" customWidth="1"/>
    <col min="191" max="191" width="5.28515625" style="59" customWidth="1"/>
    <col min="192" max="192" width="5.85546875" style="59" customWidth="1"/>
    <col min="193" max="193" width="6.140625" style="59" customWidth="1"/>
    <col min="194" max="333" width="9.140625" style="59"/>
    <col min="334" max="334" width="18.5703125" style="59" customWidth="1"/>
    <col min="335" max="335" width="3.5703125" style="59" customWidth="1"/>
    <col min="336" max="336" width="3" style="59" customWidth="1"/>
    <col min="337" max="337" width="8.140625" style="59" customWidth="1"/>
    <col min="338" max="343" width="0" style="59" hidden="1" customWidth="1"/>
    <col min="344" max="344" width="7.5703125" style="59" customWidth="1"/>
    <col min="345" max="365" width="0" style="59" hidden="1" customWidth="1"/>
    <col min="366" max="366" width="7.85546875" style="59" customWidth="1"/>
    <col min="367" max="383" width="0" style="59" hidden="1" customWidth="1"/>
    <col min="384" max="384" width="7.5703125" style="59" customWidth="1"/>
    <col min="385" max="404" width="0" style="59" hidden="1" customWidth="1"/>
    <col min="405" max="405" width="7.5703125" style="59" customWidth="1"/>
    <col min="406" max="424" width="0" style="59" hidden="1" customWidth="1"/>
    <col min="425" max="425" width="8.28515625" style="59" customWidth="1"/>
    <col min="426" max="436" width="0" style="59" hidden="1" customWidth="1"/>
    <col min="437" max="439" width="8.140625" style="59" customWidth="1"/>
    <col min="440" max="440" width="7.42578125" style="59" customWidth="1"/>
    <col min="441" max="441" width="5.7109375" style="59" customWidth="1"/>
    <col min="442" max="442" width="6.42578125" style="59" customWidth="1"/>
    <col min="443" max="443" width="5.7109375" style="59" customWidth="1"/>
    <col min="444" max="444" width="5.42578125" style="59" customWidth="1"/>
    <col min="445" max="445" width="5.28515625" style="59" customWidth="1"/>
    <col min="446" max="446" width="5.42578125" style="59" customWidth="1"/>
    <col min="447" max="447" width="5.28515625" style="59" customWidth="1"/>
    <col min="448" max="448" width="5.85546875" style="59" customWidth="1"/>
    <col min="449" max="449" width="6.140625" style="59" customWidth="1"/>
    <col min="450" max="589" width="9.140625" style="59"/>
    <col min="590" max="590" width="18.5703125" style="59" customWidth="1"/>
    <col min="591" max="591" width="3.5703125" style="59" customWidth="1"/>
    <col min="592" max="592" width="3" style="59" customWidth="1"/>
    <col min="593" max="593" width="8.140625" style="59" customWidth="1"/>
    <col min="594" max="599" width="0" style="59" hidden="1" customWidth="1"/>
    <col min="600" max="600" width="7.5703125" style="59" customWidth="1"/>
    <col min="601" max="621" width="0" style="59" hidden="1" customWidth="1"/>
    <col min="622" max="622" width="7.85546875" style="59" customWidth="1"/>
    <col min="623" max="639" width="0" style="59" hidden="1" customWidth="1"/>
    <col min="640" max="640" width="7.5703125" style="59" customWidth="1"/>
    <col min="641" max="660" width="0" style="59" hidden="1" customWidth="1"/>
    <col min="661" max="661" width="7.5703125" style="59" customWidth="1"/>
    <col min="662" max="680" width="0" style="59" hidden="1" customWidth="1"/>
    <col min="681" max="681" width="8.28515625" style="59" customWidth="1"/>
    <col min="682" max="692" width="0" style="59" hidden="1" customWidth="1"/>
    <col min="693" max="695" width="8.140625" style="59" customWidth="1"/>
    <col min="696" max="696" width="7.42578125" style="59" customWidth="1"/>
    <col min="697" max="697" width="5.7109375" style="59" customWidth="1"/>
    <col min="698" max="698" width="6.42578125" style="59" customWidth="1"/>
    <col min="699" max="699" width="5.7109375" style="59" customWidth="1"/>
    <col min="700" max="700" width="5.42578125" style="59" customWidth="1"/>
    <col min="701" max="701" width="5.28515625" style="59" customWidth="1"/>
    <col min="702" max="702" width="5.42578125" style="59" customWidth="1"/>
    <col min="703" max="703" width="5.28515625" style="59" customWidth="1"/>
    <col min="704" max="704" width="5.85546875" style="59" customWidth="1"/>
    <col min="705" max="705" width="6.140625" style="59" customWidth="1"/>
    <col min="706" max="845" width="9.140625" style="59"/>
    <col min="846" max="846" width="18.5703125" style="59" customWidth="1"/>
    <col min="847" max="847" width="3.5703125" style="59" customWidth="1"/>
    <col min="848" max="848" width="3" style="59" customWidth="1"/>
    <col min="849" max="849" width="8.140625" style="59" customWidth="1"/>
    <col min="850" max="855" width="0" style="59" hidden="1" customWidth="1"/>
    <col min="856" max="856" width="7.5703125" style="59" customWidth="1"/>
    <col min="857" max="877" width="0" style="59" hidden="1" customWidth="1"/>
    <col min="878" max="878" width="7.85546875" style="59" customWidth="1"/>
    <col min="879" max="895" width="0" style="59" hidden="1" customWidth="1"/>
    <col min="896" max="896" width="7.5703125" style="59" customWidth="1"/>
    <col min="897" max="916" width="0" style="59" hidden="1" customWidth="1"/>
    <col min="917" max="917" width="7.5703125" style="59" customWidth="1"/>
    <col min="918" max="936" width="0" style="59" hidden="1" customWidth="1"/>
    <col min="937" max="937" width="8.28515625" style="59" customWidth="1"/>
    <col min="938" max="948" width="0" style="59" hidden="1" customWidth="1"/>
    <col min="949" max="951" width="8.140625" style="59" customWidth="1"/>
    <col min="952" max="952" width="7.42578125" style="59" customWidth="1"/>
    <col min="953" max="953" width="5.7109375" style="59" customWidth="1"/>
    <col min="954" max="954" width="6.42578125" style="59" customWidth="1"/>
    <col min="955" max="955" width="5.7109375" style="59" customWidth="1"/>
    <col min="956" max="956" width="5.42578125" style="59" customWidth="1"/>
    <col min="957" max="957" width="5.28515625" style="59" customWidth="1"/>
    <col min="958" max="958" width="5.42578125" style="59" customWidth="1"/>
    <col min="959" max="959" width="5.28515625" style="59" customWidth="1"/>
    <col min="960" max="960" width="5.85546875" style="59" customWidth="1"/>
    <col min="961" max="961" width="6.140625" style="59" customWidth="1"/>
    <col min="962" max="1101" width="9.140625" style="59"/>
    <col min="1102" max="1102" width="18.5703125" style="59" customWidth="1"/>
    <col min="1103" max="1103" width="3.5703125" style="59" customWidth="1"/>
    <col min="1104" max="1104" width="3" style="59" customWidth="1"/>
    <col min="1105" max="1105" width="8.140625" style="59" customWidth="1"/>
    <col min="1106" max="1111" width="0" style="59" hidden="1" customWidth="1"/>
    <col min="1112" max="1112" width="7.5703125" style="59" customWidth="1"/>
    <col min="1113" max="1133" width="0" style="59" hidden="1" customWidth="1"/>
    <col min="1134" max="1134" width="7.85546875" style="59" customWidth="1"/>
    <col min="1135" max="1151" width="0" style="59" hidden="1" customWidth="1"/>
    <col min="1152" max="1152" width="7.5703125" style="59" customWidth="1"/>
    <col min="1153" max="1172" width="0" style="59" hidden="1" customWidth="1"/>
    <col min="1173" max="1173" width="7.5703125" style="59" customWidth="1"/>
    <col min="1174" max="1192" width="0" style="59" hidden="1" customWidth="1"/>
    <col min="1193" max="1193" width="8.28515625" style="59" customWidth="1"/>
    <col min="1194" max="1204" width="0" style="59" hidden="1" customWidth="1"/>
    <col min="1205" max="1207" width="8.140625" style="59" customWidth="1"/>
    <col min="1208" max="1208" width="7.42578125" style="59" customWidth="1"/>
    <col min="1209" max="1209" width="5.7109375" style="59" customWidth="1"/>
    <col min="1210" max="1210" width="6.42578125" style="59" customWidth="1"/>
    <col min="1211" max="1211" width="5.7109375" style="59" customWidth="1"/>
    <col min="1212" max="1212" width="5.42578125" style="59" customWidth="1"/>
    <col min="1213" max="1213" width="5.28515625" style="59" customWidth="1"/>
    <col min="1214" max="1214" width="5.42578125" style="59" customWidth="1"/>
    <col min="1215" max="1215" width="5.28515625" style="59" customWidth="1"/>
    <col min="1216" max="1216" width="5.85546875" style="59" customWidth="1"/>
    <col min="1217" max="1217" width="6.140625" style="59" customWidth="1"/>
    <col min="1218" max="1357" width="9.140625" style="59"/>
    <col min="1358" max="1358" width="18.5703125" style="59" customWidth="1"/>
    <col min="1359" max="1359" width="3.5703125" style="59" customWidth="1"/>
    <col min="1360" max="1360" width="3" style="59" customWidth="1"/>
    <col min="1361" max="1361" width="8.140625" style="59" customWidth="1"/>
    <col min="1362" max="1367" width="0" style="59" hidden="1" customWidth="1"/>
    <col min="1368" max="1368" width="7.5703125" style="59" customWidth="1"/>
    <col min="1369" max="1389" width="0" style="59" hidden="1" customWidth="1"/>
    <col min="1390" max="1390" width="7.85546875" style="59" customWidth="1"/>
    <col min="1391" max="1407" width="0" style="59" hidden="1" customWidth="1"/>
    <col min="1408" max="1408" width="7.5703125" style="59" customWidth="1"/>
    <col min="1409" max="1428" width="0" style="59" hidden="1" customWidth="1"/>
    <col min="1429" max="1429" width="7.5703125" style="59" customWidth="1"/>
    <col min="1430" max="1448" width="0" style="59" hidden="1" customWidth="1"/>
    <col min="1449" max="1449" width="8.28515625" style="59" customWidth="1"/>
    <col min="1450" max="1460" width="0" style="59" hidden="1" customWidth="1"/>
    <col min="1461" max="1463" width="8.140625" style="59" customWidth="1"/>
    <col min="1464" max="1464" width="7.42578125" style="59" customWidth="1"/>
    <col min="1465" max="1465" width="5.7109375" style="59" customWidth="1"/>
    <col min="1466" max="1466" width="6.42578125" style="59" customWidth="1"/>
    <col min="1467" max="1467" width="5.7109375" style="59" customWidth="1"/>
    <col min="1468" max="1468" width="5.42578125" style="59" customWidth="1"/>
    <col min="1469" max="1469" width="5.28515625" style="59" customWidth="1"/>
    <col min="1470" max="1470" width="5.42578125" style="59" customWidth="1"/>
    <col min="1471" max="1471" width="5.28515625" style="59" customWidth="1"/>
    <col min="1472" max="1472" width="5.85546875" style="59" customWidth="1"/>
    <col min="1473" max="1473" width="6.140625" style="59" customWidth="1"/>
    <col min="1474" max="1613" width="9.140625" style="59"/>
    <col min="1614" max="1614" width="18.5703125" style="59" customWidth="1"/>
    <col min="1615" max="1615" width="3.5703125" style="59" customWidth="1"/>
    <col min="1616" max="1616" width="3" style="59" customWidth="1"/>
    <col min="1617" max="1617" width="8.140625" style="59" customWidth="1"/>
    <col min="1618" max="1623" width="0" style="59" hidden="1" customWidth="1"/>
    <col min="1624" max="1624" width="7.5703125" style="59" customWidth="1"/>
    <col min="1625" max="1645" width="0" style="59" hidden="1" customWidth="1"/>
    <col min="1646" max="1646" width="7.85546875" style="59" customWidth="1"/>
    <col min="1647" max="1663" width="0" style="59" hidden="1" customWidth="1"/>
    <col min="1664" max="1664" width="7.5703125" style="59" customWidth="1"/>
    <col min="1665" max="1684" width="0" style="59" hidden="1" customWidth="1"/>
    <col min="1685" max="1685" width="7.5703125" style="59" customWidth="1"/>
    <col min="1686" max="1704" width="0" style="59" hidden="1" customWidth="1"/>
    <col min="1705" max="1705" width="8.28515625" style="59" customWidth="1"/>
    <col min="1706" max="1716" width="0" style="59" hidden="1" customWidth="1"/>
    <col min="1717" max="1719" width="8.140625" style="59" customWidth="1"/>
    <col min="1720" max="1720" width="7.42578125" style="59" customWidth="1"/>
    <col min="1721" max="1721" width="5.7109375" style="59" customWidth="1"/>
    <col min="1722" max="1722" width="6.42578125" style="59" customWidth="1"/>
    <col min="1723" max="1723" width="5.7109375" style="59" customWidth="1"/>
    <col min="1724" max="1724" width="5.42578125" style="59" customWidth="1"/>
    <col min="1725" max="1725" width="5.28515625" style="59" customWidth="1"/>
    <col min="1726" max="1726" width="5.42578125" style="59" customWidth="1"/>
    <col min="1727" max="1727" width="5.28515625" style="59" customWidth="1"/>
    <col min="1728" max="1728" width="5.85546875" style="59" customWidth="1"/>
    <col min="1729" max="1729" width="6.140625" style="59" customWidth="1"/>
    <col min="1730" max="1869" width="9.140625" style="59"/>
    <col min="1870" max="1870" width="18.5703125" style="59" customWidth="1"/>
    <col min="1871" max="1871" width="3.5703125" style="59" customWidth="1"/>
    <col min="1872" max="1872" width="3" style="59" customWidth="1"/>
    <col min="1873" max="1873" width="8.140625" style="59" customWidth="1"/>
    <col min="1874" max="1879" width="0" style="59" hidden="1" customWidth="1"/>
    <col min="1880" max="1880" width="7.5703125" style="59" customWidth="1"/>
    <col min="1881" max="1901" width="0" style="59" hidden="1" customWidth="1"/>
    <col min="1902" max="1902" width="7.85546875" style="59" customWidth="1"/>
    <col min="1903" max="1919" width="0" style="59" hidden="1" customWidth="1"/>
    <col min="1920" max="1920" width="7.5703125" style="59" customWidth="1"/>
    <col min="1921" max="1940" width="0" style="59" hidden="1" customWidth="1"/>
    <col min="1941" max="1941" width="7.5703125" style="59" customWidth="1"/>
    <col min="1942" max="1960" width="0" style="59" hidden="1" customWidth="1"/>
    <col min="1961" max="1961" width="8.28515625" style="59" customWidth="1"/>
    <col min="1962" max="1972" width="0" style="59" hidden="1" customWidth="1"/>
    <col min="1973" max="1975" width="8.140625" style="59" customWidth="1"/>
    <col min="1976" max="1976" width="7.42578125" style="59" customWidth="1"/>
    <col min="1977" max="1977" width="5.7109375" style="59" customWidth="1"/>
    <col min="1978" max="1978" width="6.42578125" style="59" customWidth="1"/>
    <col min="1979" max="1979" width="5.7109375" style="59" customWidth="1"/>
    <col min="1980" max="1980" width="5.42578125" style="59" customWidth="1"/>
    <col min="1981" max="1981" width="5.28515625" style="59" customWidth="1"/>
    <col min="1982" max="1982" width="5.42578125" style="59" customWidth="1"/>
    <col min="1983" max="1983" width="5.28515625" style="59" customWidth="1"/>
    <col min="1984" max="1984" width="5.85546875" style="59" customWidth="1"/>
    <col min="1985" max="1985" width="6.140625" style="59" customWidth="1"/>
    <col min="1986" max="2125" width="9.140625" style="59"/>
    <col min="2126" max="2126" width="18.5703125" style="59" customWidth="1"/>
    <col min="2127" max="2127" width="3.5703125" style="59" customWidth="1"/>
    <col min="2128" max="2128" width="3" style="59" customWidth="1"/>
    <col min="2129" max="2129" width="8.140625" style="59" customWidth="1"/>
    <col min="2130" max="2135" width="0" style="59" hidden="1" customWidth="1"/>
    <col min="2136" max="2136" width="7.5703125" style="59" customWidth="1"/>
    <col min="2137" max="2157" width="0" style="59" hidden="1" customWidth="1"/>
    <col min="2158" max="2158" width="7.85546875" style="59" customWidth="1"/>
    <col min="2159" max="2175" width="0" style="59" hidden="1" customWidth="1"/>
    <col min="2176" max="2176" width="7.5703125" style="59" customWidth="1"/>
    <col min="2177" max="2196" width="0" style="59" hidden="1" customWidth="1"/>
    <col min="2197" max="2197" width="7.5703125" style="59" customWidth="1"/>
    <col min="2198" max="2216" width="0" style="59" hidden="1" customWidth="1"/>
    <col min="2217" max="2217" width="8.28515625" style="59" customWidth="1"/>
    <col min="2218" max="2228" width="0" style="59" hidden="1" customWidth="1"/>
    <col min="2229" max="2231" width="8.140625" style="59" customWidth="1"/>
    <col min="2232" max="2232" width="7.42578125" style="59" customWidth="1"/>
    <col min="2233" max="2233" width="5.7109375" style="59" customWidth="1"/>
    <col min="2234" max="2234" width="6.42578125" style="59" customWidth="1"/>
    <col min="2235" max="2235" width="5.7109375" style="59" customWidth="1"/>
    <col min="2236" max="2236" width="5.42578125" style="59" customWidth="1"/>
    <col min="2237" max="2237" width="5.28515625" style="59" customWidth="1"/>
    <col min="2238" max="2238" width="5.42578125" style="59" customWidth="1"/>
    <col min="2239" max="2239" width="5.28515625" style="59" customWidth="1"/>
    <col min="2240" max="2240" width="5.85546875" style="59" customWidth="1"/>
    <col min="2241" max="2241" width="6.140625" style="59" customWidth="1"/>
    <col min="2242" max="2381" width="9.140625" style="59"/>
    <col min="2382" max="2382" width="18.5703125" style="59" customWidth="1"/>
    <col min="2383" max="2383" width="3.5703125" style="59" customWidth="1"/>
    <col min="2384" max="2384" width="3" style="59" customWidth="1"/>
    <col min="2385" max="2385" width="8.140625" style="59" customWidth="1"/>
    <col min="2386" max="2391" width="0" style="59" hidden="1" customWidth="1"/>
    <col min="2392" max="2392" width="7.5703125" style="59" customWidth="1"/>
    <col min="2393" max="2413" width="0" style="59" hidden="1" customWidth="1"/>
    <col min="2414" max="2414" width="7.85546875" style="59" customWidth="1"/>
    <col min="2415" max="2431" width="0" style="59" hidden="1" customWidth="1"/>
    <col min="2432" max="2432" width="7.5703125" style="59" customWidth="1"/>
    <col min="2433" max="2452" width="0" style="59" hidden="1" customWidth="1"/>
    <col min="2453" max="2453" width="7.5703125" style="59" customWidth="1"/>
    <col min="2454" max="2472" width="0" style="59" hidden="1" customWidth="1"/>
    <col min="2473" max="2473" width="8.28515625" style="59" customWidth="1"/>
    <col min="2474" max="2484" width="0" style="59" hidden="1" customWidth="1"/>
    <col min="2485" max="2487" width="8.140625" style="59" customWidth="1"/>
    <col min="2488" max="2488" width="7.42578125" style="59" customWidth="1"/>
    <col min="2489" max="2489" width="5.7109375" style="59" customWidth="1"/>
    <col min="2490" max="2490" width="6.42578125" style="59" customWidth="1"/>
    <col min="2491" max="2491" width="5.7109375" style="59" customWidth="1"/>
    <col min="2492" max="2492" width="5.42578125" style="59" customWidth="1"/>
    <col min="2493" max="2493" width="5.28515625" style="59" customWidth="1"/>
    <col min="2494" max="2494" width="5.42578125" style="59" customWidth="1"/>
    <col min="2495" max="2495" width="5.28515625" style="59" customWidth="1"/>
    <col min="2496" max="2496" width="5.85546875" style="59" customWidth="1"/>
    <col min="2497" max="2497" width="6.140625" style="59" customWidth="1"/>
    <col min="2498" max="2637" width="9.140625" style="59"/>
    <col min="2638" max="2638" width="18.5703125" style="59" customWidth="1"/>
    <col min="2639" max="2639" width="3.5703125" style="59" customWidth="1"/>
    <col min="2640" max="2640" width="3" style="59" customWidth="1"/>
    <col min="2641" max="2641" width="8.140625" style="59" customWidth="1"/>
    <col min="2642" max="2647" width="0" style="59" hidden="1" customWidth="1"/>
    <col min="2648" max="2648" width="7.5703125" style="59" customWidth="1"/>
    <col min="2649" max="2669" width="0" style="59" hidden="1" customWidth="1"/>
    <col min="2670" max="2670" width="7.85546875" style="59" customWidth="1"/>
    <col min="2671" max="2687" width="0" style="59" hidden="1" customWidth="1"/>
    <col min="2688" max="2688" width="7.5703125" style="59" customWidth="1"/>
    <col min="2689" max="2708" width="0" style="59" hidden="1" customWidth="1"/>
    <col min="2709" max="2709" width="7.5703125" style="59" customWidth="1"/>
    <col min="2710" max="2728" width="0" style="59" hidden="1" customWidth="1"/>
    <col min="2729" max="2729" width="8.28515625" style="59" customWidth="1"/>
    <col min="2730" max="2740" width="0" style="59" hidden="1" customWidth="1"/>
    <col min="2741" max="2743" width="8.140625" style="59" customWidth="1"/>
    <col min="2744" max="2744" width="7.42578125" style="59" customWidth="1"/>
    <col min="2745" max="2745" width="5.7109375" style="59" customWidth="1"/>
    <col min="2746" max="2746" width="6.42578125" style="59" customWidth="1"/>
    <col min="2747" max="2747" width="5.7109375" style="59" customWidth="1"/>
    <col min="2748" max="2748" width="5.42578125" style="59" customWidth="1"/>
    <col min="2749" max="2749" width="5.28515625" style="59" customWidth="1"/>
    <col min="2750" max="2750" width="5.42578125" style="59" customWidth="1"/>
    <col min="2751" max="2751" width="5.28515625" style="59" customWidth="1"/>
    <col min="2752" max="2752" width="5.85546875" style="59" customWidth="1"/>
    <col min="2753" max="2753" width="6.140625" style="59" customWidth="1"/>
    <col min="2754" max="2893" width="9.140625" style="59"/>
    <col min="2894" max="2894" width="18.5703125" style="59" customWidth="1"/>
    <col min="2895" max="2895" width="3.5703125" style="59" customWidth="1"/>
    <col min="2896" max="2896" width="3" style="59" customWidth="1"/>
    <col min="2897" max="2897" width="8.140625" style="59" customWidth="1"/>
    <col min="2898" max="2903" width="0" style="59" hidden="1" customWidth="1"/>
    <col min="2904" max="2904" width="7.5703125" style="59" customWidth="1"/>
    <col min="2905" max="2925" width="0" style="59" hidden="1" customWidth="1"/>
    <col min="2926" max="2926" width="7.85546875" style="59" customWidth="1"/>
    <col min="2927" max="2943" width="0" style="59" hidden="1" customWidth="1"/>
    <col min="2944" max="2944" width="7.5703125" style="59" customWidth="1"/>
    <col min="2945" max="2964" width="0" style="59" hidden="1" customWidth="1"/>
    <col min="2965" max="2965" width="7.5703125" style="59" customWidth="1"/>
    <col min="2966" max="2984" width="0" style="59" hidden="1" customWidth="1"/>
    <col min="2985" max="2985" width="8.28515625" style="59" customWidth="1"/>
    <col min="2986" max="2996" width="0" style="59" hidden="1" customWidth="1"/>
    <col min="2997" max="2999" width="8.140625" style="59" customWidth="1"/>
    <col min="3000" max="3000" width="7.42578125" style="59" customWidth="1"/>
    <col min="3001" max="3001" width="5.7109375" style="59" customWidth="1"/>
    <col min="3002" max="3002" width="6.42578125" style="59" customWidth="1"/>
    <col min="3003" max="3003" width="5.7109375" style="59" customWidth="1"/>
    <col min="3004" max="3004" width="5.42578125" style="59" customWidth="1"/>
    <col min="3005" max="3005" width="5.28515625" style="59" customWidth="1"/>
    <col min="3006" max="3006" width="5.42578125" style="59" customWidth="1"/>
    <col min="3007" max="3007" width="5.28515625" style="59" customWidth="1"/>
    <col min="3008" max="3008" width="5.85546875" style="59" customWidth="1"/>
    <col min="3009" max="3009" width="6.140625" style="59" customWidth="1"/>
    <col min="3010" max="3149" width="9.140625" style="59"/>
    <col min="3150" max="3150" width="18.5703125" style="59" customWidth="1"/>
    <col min="3151" max="3151" width="3.5703125" style="59" customWidth="1"/>
    <col min="3152" max="3152" width="3" style="59" customWidth="1"/>
    <col min="3153" max="3153" width="8.140625" style="59" customWidth="1"/>
    <col min="3154" max="3159" width="0" style="59" hidden="1" customWidth="1"/>
    <col min="3160" max="3160" width="7.5703125" style="59" customWidth="1"/>
    <col min="3161" max="3181" width="0" style="59" hidden="1" customWidth="1"/>
    <col min="3182" max="3182" width="7.85546875" style="59" customWidth="1"/>
    <col min="3183" max="3199" width="0" style="59" hidden="1" customWidth="1"/>
    <col min="3200" max="3200" width="7.5703125" style="59" customWidth="1"/>
    <col min="3201" max="3220" width="0" style="59" hidden="1" customWidth="1"/>
    <col min="3221" max="3221" width="7.5703125" style="59" customWidth="1"/>
    <col min="3222" max="3240" width="0" style="59" hidden="1" customWidth="1"/>
    <col min="3241" max="3241" width="8.28515625" style="59" customWidth="1"/>
    <col min="3242" max="3252" width="0" style="59" hidden="1" customWidth="1"/>
    <col min="3253" max="3255" width="8.140625" style="59" customWidth="1"/>
    <col min="3256" max="3256" width="7.42578125" style="59" customWidth="1"/>
    <col min="3257" max="3257" width="5.7109375" style="59" customWidth="1"/>
    <col min="3258" max="3258" width="6.42578125" style="59" customWidth="1"/>
    <col min="3259" max="3259" width="5.7109375" style="59" customWidth="1"/>
    <col min="3260" max="3260" width="5.42578125" style="59" customWidth="1"/>
    <col min="3261" max="3261" width="5.28515625" style="59" customWidth="1"/>
    <col min="3262" max="3262" width="5.42578125" style="59" customWidth="1"/>
    <col min="3263" max="3263" width="5.28515625" style="59" customWidth="1"/>
    <col min="3264" max="3264" width="5.85546875" style="59" customWidth="1"/>
    <col min="3265" max="3265" width="6.140625" style="59" customWidth="1"/>
    <col min="3266" max="3405" width="9.140625" style="59"/>
    <col min="3406" max="3406" width="18.5703125" style="59" customWidth="1"/>
    <col min="3407" max="3407" width="3.5703125" style="59" customWidth="1"/>
    <col min="3408" max="3408" width="3" style="59" customWidth="1"/>
    <col min="3409" max="3409" width="8.140625" style="59" customWidth="1"/>
    <col min="3410" max="3415" width="0" style="59" hidden="1" customWidth="1"/>
    <col min="3416" max="3416" width="7.5703125" style="59" customWidth="1"/>
    <col min="3417" max="3437" width="0" style="59" hidden="1" customWidth="1"/>
    <col min="3438" max="3438" width="7.85546875" style="59" customWidth="1"/>
    <col min="3439" max="3455" width="0" style="59" hidden="1" customWidth="1"/>
    <col min="3456" max="3456" width="7.5703125" style="59" customWidth="1"/>
    <col min="3457" max="3476" width="0" style="59" hidden="1" customWidth="1"/>
    <col min="3477" max="3477" width="7.5703125" style="59" customWidth="1"/>
    <col min="3478" max="3496" width="0" style="59" hidden="1" customWidth="1"/>
    <col min="3497" max="3497" width="8.28515625" style="59" customWidth="1"/>
    <col min="3498" max="3508" width="0" style="59" hidden="1" customWidth="1"/>
    <col min="3509" max="3511" width="8.140625" style="59" customWidth="1"/>
    <col min="3512" max="3512" width="7.42578125" style="59" customWidth="1"/>
    <col min="3513" max="3513" width="5.7109375" style="59" customWidth="1"/>
    <col min="3514" max="3514" width="6.42578125" style="59" customWidth="1"/>
    <col min="3515" max="3515" width="5.7109375" style="59" customWidth="1"/>
    <col min="3516" max="3516" width="5.42578125" style="59" customWidth="1"/>
    <col min="3517" max="3517" width="5.28515625" style="59" customWidth="1"/>
    <col min="3518" max="3518" width="5.42578125" style="59" customWidth="1"/>
    <col min="3519" max="3519" width="5.28515625" style="59" customWidth="1"/>
    <col min="3520" max="3520" width="5.85546875" style="59" customWidth="1"/>
    <col min="3521" max="3521" width="6.140625" style="59" customWidth="1"/>
    <col min="3522" max="3661" width="9.140625" style="59"/>
    <col min="3662" max="3662" width="18.5703125" style="59" customWidth="1"/>
    <col min="3663" max="3663" width="3.5703125" style="59" customWidth="1"/>
    <col min="3664" max="3664" width="3" style="59" customWidth="1"/>
    <col min="3665" max="3665" width="8.140625" style="59" customWidth="1"/>
    <col min="3666" max="3671" width="0" style="59" hidden="1" customWidth="1"/>
    <col min="3672" max="3672" width="7.5703125" style="59" customWidth="1"/>
    <col min="3673" max="3693" width="0" style="59" hidden="1" customWidth="1"/>
    <col min="3694" max="3694" width="7.85546875" style="59" customWidth="1"/>
    <col min="3695" max="3711" width="0" style="59" hidden="1" customWidth="1"/>
    <col min="3712" max="3712" width="7.5703125" style="59" customWidth="1"/>
    <col min="3713" max="3732" width="0" style="59" hidden="1" customWidth="1"/>
    <col min="3733" max="3733" width="7.5703125" style="59" customWidth="1"/>
    <col min="3734" max="3752" width="0" style="59" hidden="1" customWidth="1"/>
    <col min="3753" max="3753" width="8.28515625" style="59" customWidth="1"/>
    <col min="3754" max="3764" width="0" style="59" hidden="1" customWidth="1"/>
    <col min="3765" max="3767" width="8.140625" style="59" customWidth="1"/>
    <col min="3768" max="3768" width="7.42578125" style="59" customWidth="1"/>
    <col min="3769" max="3769" width="5.7109375" style="59" customWidth="1"/>
    <col min="3770" max="3770" width="6.42578125" style="59" customWidth="1"/>
    <col min="3771" max="3771" width="5.7109375" style="59" customWidth="1"/>
    <col min="3772" max="3772" width="5.42578125" style="59" customWidth="1"/>
    <col min="3773" max="3773" width="5.28515625" style="59" customWidth="1"/>
    <col min="3774" max="3774" width="5.42578125" style="59" customWidth="1"/>
    <col min="3775" max="3775" width="5.28515625" style="59" customWidth="1"/>
    <col min="3776" max="3776" width="5.85546875" style="59" customWidth="1"/>
    <col min="3777" max="3777" width="6.140625" style="59" customWidth="1"/>
    <col min="3778" max="3917" width="9.140625" style="59"/>
    <col min="3918" max="3918" width="18.5703125" style="59" customWidth="1"/>
    <col min="3919" max="3919" width="3.5703125" style="59" customWidth="1"/>
    <col min="3920" max="3920" width="3" style="59" customWidth="1"/>
    <col min="3921" max="3921" width="8.140625" style="59" customWidth="1"/>
    <col min="3922" max="3927" width="0" style="59" hidden="1" customWidth="1"/>
    <col min="3928" max="3928" width="7.5703125" style="59" customWidth="1"/>
    <col min="3929" max="3949" width="0" style="59" hidden="1" customWidth="1"/>
    <col min="3950" max="3950" width="7.85546875" style="59" customWidth="1"/>
    <col min="3951" max="3967" width="0" style="59" hidden="1" customWidth="1"/>
    <col min="3968" max="3968" width="7.5703125" style="59" customWidth="1"/>
    <col min="3969" max="3988" width="0" style="59" hidden="1" customWidth="1"/>
    <col min="3989" max="3989" width="7.5703125" style="59" customWidth="1"/>
    <col min="3990" max="4008" width="0" style="59" hidden="1" customWidth="1"/>
    <col min="4009" max="4009" width="8.28515625" style="59" customWidth="1"/>
    <col min="4010" max="4020" width="0" style="59" hidden="1" customWidth="1"/>
    <col min="4021" max="4023" width="8.140625" style="59" customWidth="1"/>
    <col min="4024" max="4024" width="7.42578125" style="59" customWidth="1"/>
    <col min="4025" max="4025" width="5.7109375" style="59" customWidth="1"/>
    <col min="4026" max="4026" width="6.42578125" style="59" customWidth="1"/>
    <col min="4027" max="4027" width="5.7109375" style="59" customWidth="1"/>
    <col min="4028" max="4028" width="5.42578125" style="59" customWidth="1"/>
    <col min="4029" max="4029" width="5.28515625" style="59" customWidth="1"/>
    <col min="4030" max="4030" width="5.42578125" style="59" customWidth="1"/>
    <col min="4031" max="4031" width="5.28515625" style="59" customWidth="1"/>
    <col min="4032" max="4032" width="5.85546875" style="59" customWidth="1"/>
    <col min="4033" max="4033" width="6.140625" style="59" customWidth="1"/>
    <col min="4034" max="4173" width="9.140625" style="59"/>
    <col min="4174" max="4174" width="18.5703125" style="59" customWidth="1"/>
    <col min="4175" max="4175" width="3.5703125" style="59" customWidth="1"/>
    <col min="4176" max="4176" width="3" style="59" customWidth="1"/>
    <col min="4177" max="4177" width="8.140625" style="59" customWidth="1"/>
    <col min="4178" max="4183" width="0" style="59" hidden="1" customWidth="1"/>
    <col min="4184" max="4184" width="7.5703125" style="59" customWidth="1"/>
    <col min="4185" max="4205" width="0" style="59" hidden="1" customWidth="1"/>
    <col min="4206" max="4206" width="7.85546875" style="59" customWidth="1"/>
    <col min="4207" max="4223" width="0" style="59" hidden="1" customWidth="1"/>
    <col min="4224" max="4224" width="7.5703125" style="59" customWidth="1"/>
    <col min="4225" max="4244" width="0" style="59" hidden="1" customWidth="1"/>
    <col min="4245" max="4245" width="7.5703125" style="59" customWidth="1"/>
    <col min="4246" max="4264" width="0" style="59" hidden="1" customWidth="1"/>
    <col min="4265" max="4265" width="8.28515625" style="59" customWidth="1"/>
    <col min="4266" max="4276" width="0" style="59" hidden="1" customWidth="1"/>
    <col min="4277" max="4279" width="8.140625" style="59" customWidth="1"/>
    <col min="4280" max="4280" width="7.42578125" style="59" customWidth="1"/>
    <col min="4281" max="4281" width="5.7109375" style="59" customWidth="1"/>
    <col min="4282" max="4282" width="6.42578125" style="59" customWidth="1"/>
    <col min="4283" max="4283" width="5.7109375" style="59" customWidth="1"/>
    <col min="4284" max="4284" width="5.42578125" style="59" customWidth="1"/>
    <col min="4285" max="4285" width="5.28515625" style="59" customWidth="1"/>
    <col min="4286" max="4286" width="5.42578125" style="59" customWidth="1"/>
    <col min="4287" max="4287" width="5.28515625" style="59" customWidth="1"/>
    <col min="4288" max="4288" width="5.85546875" style="59" customWidth="1"/>
    <col min="4289" max="4289" width="6.140625" style="59" customWidth="1"/>
    <col min="4290" max="4429" width="9.140625" style="59"/>
    <col min="4430" max="4430" width="18.5703125" style="59" customWidth="1"/>
    <col min="4431" max="4431" width="3.5703125" style="59" customWidth="1"/>
    <col min="4432" max="4432" width="3" style="59" customWidth="1"/>
    <col min="4433" max="4433" width="8.140625" style="59" customWidth="1"/>
    <col min="4434" max="4439" width="0" style="59" hidden="1" customWidth="1"/>
    <col min="4440" max="4440" width="7.5703125" style="59" customWidth="1"/>
    <col min="4441" max="4461" width="0" style="59" hidden="1" customWidth="1"/>
    <col min="4462" max="4462" width="7.85546875" style="59" customWidth="1"/>
    <col min="4463" max="4479" width="0" style="59" hidden="1" customWidth="1"/>
    <col min="4480" max="4480" width="7.5703125" style="59" customWidth="1"/>
    <col min="4481" max="4500" width="0" style="59" hidden="1" customWidth="1"/>
    <col min="4501" max="4501" width="7.5703125" style="59" customWidth="1"/>
    <col min="4502" max="4520" width="0" style="59" hidden="1" customWidth="1"/>
    <col min="4521" max="4521" width="8.28515625" style="59" customWidth="1"/>
    <col min="4522" max="4532" width="0" style="59" hidden="1" customWidth="1"/>
    <col min="4533" max="4535" width="8.140625" style="59" customWidth="1"/>
    <col min="4536" max="4536" width="7.42578125" style="59" customWidth="1"/>
    <col min="4537" max="4537" width="5.7109375" style="59" customWidth="1"/>
    <col min="4538" max="4538" width="6.42578125" style="59" customWidth="1"/>
    <col min="4539" max="4539" width="5.7109375" style="59" customWidth="1"/>
    <col min="4540" max="4540" width="5.42578125" style="59" customWidth="1"/>
    <col min="4541" max="4541" width="5.28515625" style="59" customWidth="1"/>
    <col min="4542" max="4542" width="5.42578125" style="59" customWidth="1"/>
    <col min="4543" max="4543" width="5.28515625" style="59" customWidth="1"/>
    <col min="4544" max="4544" width="5.85546875" style="59" customWidth="1"/>
    <col min="4545" max="4545" width="6.140625" style="59" customWidth="1"/>
    <col min="4546" max="4685" width="9.140625" style="59"/>
    <col min="4686" max="4686" width="18.5703125" style="59" customWidth="1"/>
    <col min="4687" max="4687" width="3.5703125" style="59" customWidth="1"/>
    <col min="4688" max="4688" width="3" style="59" customWidth="1"/>
    <col min="4689" max="4689" width="8.140625" style="59" customWidth="1"/>
    <col min="4690" max="4695" width="0" style="59" hidden="1" customWidth="1"/>
    <col min="4696" max="4696" width="7.5703125" style="59" customWidth="1"/>
    <col min="4697" max="4717" width="0" style="59" hidden="1" customWidth="1"/>
    <col min="4718" max="4718" width="7.85546875" style="59" customWidth="1"/>
    <col min="4719" max="4735" width="0" style="59" hidden="1" customWidth="1"/>
    <col min="4736" max="4736" width="7.5703125" style="59" customWidth="1"/>
    <col min="4737" max="4756" width="0" style="59" hidden="1" customWidth="1"/>
    <col min="4757" max="4757" width="7.5703125" style="59" customWidth="1"/>
    <col min="4758" max="4776" width="0" style="59" hidden="1" customWidth="1"/>
    <col min="4777" max="4777" width="8.28515625" style="59" customWidth="1"/>
    <col min="4778" max="4788" width="0" style="59" hidden="1" customWidth="1"/>
    <col min="4789" max="4791" width="8.140625" style="59" customWidth="1"/>
    <col min="4792" max="4792" width="7.42578125" style="59" customWidth="1"/>
    <col min="4793" max="4793" width="5.7109375" style="59" customWidth="1"/>
    <col min="4794" max="4794" width="6.42578125" style="59" customWidth="1"/>
    <col min="4795" max="4795" width="5.7109375" style="59" customWidth="1"/>
    <col min="4796" max="4796" width="5.42578125" style="59" customWidth="1"/>
    <col min="4797" max="4797" width="5.28515625" style="59" customWidth="1"/>
    <col min="4798" max="4798" width="5.42578125" style="59" customWidth="1"/>
    <col min="4799" max="4799" width="5.28515625" style="59" customWidth="1"/>
    <col min="4800" max="4800" width="5.85546875" style="59" customWidth="1"/>
    <col min="4801" max="4801" width="6.140625" style="59" customWidth="1"/>
    <col min="4802" max="4941" width="9.140625" style="59"/>
    <col min="4942" max="4942" width="18.5703125" style="59" customWidth="1"/>
    <col min="4943" max="4943" width="3.5703125" style="59" customWidth="1"/>
    <col min="4944" max="4944" width="3" style="59" customWidth="1"/>
    <col min="4945" max="4945" width="8.140625" style="59" customWidth="1"/>
    <col min="4946" max="4951" width="0" style="59" hidden="1" customWidth="1"/>
    <col min="4952" max="4952" width="7.5703125" style="59" customWidth="1"/>
    <col min="4953" max="4973" width="0" style="59" hidden="1" customWidth="1"/>
    <col min="4974" max="4974" width="7.85546875" style="59" customWidth="1"/>
    <col min="4975" max="4991" width="0" style="59" hidden="1" customWidth="1"/>
    <col min="4992" max="4992" width="7.5703125" style="59" customWidth="1"/>
    <col min="4993" max="5012" width="0" style="59" hidden="1" customWidth="1"/>
    <col min="5013" max="5013" width="7.5703125" style="59" customWidth="1"/>
    <col min="5014" max="5032" width="0" style="59" hidden="1" customWidth="1"/>
    <col min="5033" max="5033" width="8.28515625" style="59" customWidth="1"/>
    <col min="5034" max="5044" width="0" style="59" hidden="1" customWidth="1"/>
    <col min="5045" max="5047" width="8.140625" style="59" customWidth="1"/>
    <col min="5048" max="5048" width="7.42578125" style="59" customWidth="1"/>
    <col min="5049" max="5049" width="5.7109375" style="59" customWidth="1"/>
    <col min="5050" max="5050" width="6.42578125" style="59" customWidth="1"/>
    <col min="5051" max="5051" width="5.7109375" style="59" customWidth="1"/>
    <col min="5052" max="5052" width="5.42578125" style="59" customWidth="1"/>
    <col min="5053" max="5053" width="5.28515625" style="59" customWidth="1"/>
    <col min="5054" max="5054" width="5.42578125" style="59" customWidth="1"/>
    <col min="5055" max="5055" width="5.28515625" style="59" customWidth="1"/>
    <col min="5056" max="5056" width="5.85546875" style="59" customWidth="1"/>
    <col min="5057" max="5057" width="6.140625" style="59" customWidth="1"/>
    <col min="5058" max="5197" width="9.140625" style="59"/>
    <col min="5198" max="5198" width="18.5703125" style="59" customWidth="1"/>
    <col min="5199" max="5199" width="3.5703125" style="59" customWidth="1"/>
    <col min="5200" max="5200" width="3" style="59" customWidth="1"/>
    <col min="5201" max="5201" width="8.140625" style="59" customWidth="1"/>
    <col min="5202" max="5207" width="0" style="59" hidden="1" customWidth="1"/>
    <col min="5208" max="5208" width="7.5703125" style="59" customWidth="1"/>
    <col min="5209" max="5229" width="0" style="59" hidden="1" customWidth="1"/>
    <col min="5230" max="5230" width="7.85546875" style="59" customWidth="1"/>
    <col min="5231" max="5247" width="0" style="59" hidden="1" customWidth="1"/>
    <col min="5248" max="5248" width="7.5703125" style="59" customWidth="1"/>
    <col min="5249" max="5268" width="0" style="59" hidden="1" customWidth="1"/>
    <col min="5269" max="5269" width="7.5703125" style="59" customWidth="1"/>
    <col min="5270" max="5288" width="0" style="59" hidden="1" customWidth="1"/>
    <col min="5289" max="5289" width="8.28515625" style="59" customWidth="1"/>
    <col min="5290" max="5300" width="0" style="59" hidden="1" customWidth="1"/>
    <col min="5301" max="5303" width="8.140625" style="59" customWidth="1"/>
    <col min="5304" max="5304" width="7.42578125" style="59" customWidth="1"/>
    <col min="5305" max="5305" width="5.7109375" style="59" customWidth="1"/>
    <col min="5306" max="5306" width="6.42578125" style="59" customWidth="1"/>
    <col min="5307" max="5307" width="5.7109375" style="59" customWidth="1"/>
    <col min="5308" max="5308" width="5.42578125" style="59" customWidth="1"/>
    <col min="5309" max="5309" width="5.28515625" style="59" customWidth="1"/>
    <col min="5310" max="5310" width="5.42578125" style="59" customWidth="1"/>
    <col min="5311" max="5311" width="5.28515625" style="59" customWidth="1"/>
    <col min="5312" max="5312" width="5.85546875" style="59" customWidth="1"/>
    <col min="5313" max="5313" width="6.140625" style="59" customWidth="1"/>
    <col min="5314" max="5453" width="9.140625" style="59"/>
    <col min="5454" max="5454" width="18.5703125" style="59" customWidth="1"/>
    <col min="5455" max="5455" width="3.5703125" style="59" customWidth="1"/>
    <col min="5456" max="5456" width="3" style="59" customWidth="1"/>
    <col min="5457" max="5457" width="8.140625" style="59" customWidth="1"/>
    <col min="5458" max="5463" width="0" style="59" hidden="1" customWidth="1"/>
    <col min="5464" max="5464" width="7.5703125" style="59" customWidth="1"/>
    <col min="5465" max="5485" width="0" style="59" hidden="1" customWidth="1"/>
    <col min="5486" max="5486" width="7.85546875" style="59" customWidth="1"/>
    <col min="5487" max="5503" width="0" style="59" hidden="1" customWidth="1"/>
    <col min="5504" max="5504" width="7.5703125" style="59" customWidth="1"/>
    <col min="5505" max="5524" width="0" style="59" hidden="1" customWidth="1"/>
    <col min="5525" max="5525" width="7.5703125" style="59" customWidth="1"/>
    <col min="5526" max="5544" width="0" style="59" hidden="1" customWidth="1"/>
    <col min="5545" max="5545" width="8.28515625" style="59" customWidth="1"/>
    <col min="5546" max="5556" width="0" style="59" hidden="1" customWidth="1"/>
    <col min="5557" max="5559" width="8.140625" style="59" customWidth="1"/>
    <col min="5560" max="5560" width="7.42578125" style="59" customWidth="1"/>
    <col min="5561" max="5561" width="5.7109375" style="59" customWidth="1"/>
    <col min="5562" max="5562" width="6.42578125" style="59" customWidth="1"/>
    <col min="5563" max="5563" width="5.7109375" style="59" customWidth="1"/>
    <col min="5564" max="5564" width="5.42578125" style="59" customWidth="1"/>
    <col min="5565" max="5565" width="5.28515625" style="59" customWidth="1"/>
    <col min="5566" max="5566" width="5.42578125" style="59" customWidth="1"/>
    <col min="5567" max="5567" width="5.28515625" style="59" customWidth="1"/>
    <col min="5568" max="5568" width="5.85546875" style="59" customWidth="1"/>
    <col min="5569" max="5569" width="6.140625" style="59" customWidth="1"/>
    <col min="5570" max="5709" width="9.140625" style="59"/>
    <col min="5710" max="5710" width="18.5703125" style="59" customWidth="1"/>
    <col min="5711" max="5711" width="3.5703125" style="59" customWidth="1"/>
    <col min="5712" max="5712" width="3" style="59" customWidth="1"/>
    <col min="5713" max="5713" width="8.140625" style="59" customWidth="1"/>
    <col min="5714" max="5719" width="0" style="59" hidden="1" customWidth="1"/>
    <col min="5720" max="5720" width="7.5703125" style="59" customWidth="1"/>
    <col min="5721" max="5741" width="0" style="59" hidden="1" customWidth="1"/>
    <col min="5742" max="5742" width="7.85546875" style="59" customWidth="1"/>
    <col min="5743" max="5759" width="0" style="59" hidden="1" customWidth="1"/>
    <col min="5760" max="5760" width="7.5703125" style="59" customWidth="1"/>
    <col min="5761" max="5780" width="0" style="59" hidden="1" customWidth="1"/>
    <col min="5781" max="5781" width="7.5703125" style="59" customWidth="1"/>
    <col min="5782" max="5800" width="0" style="59" hidden="1" customWidth="1"/>
    <col min="5801" max="5801" width="8.28515625" style="59" customWidth="1"/>
    <col min="5802" max="5812" width="0" style="59" hidden="1" customWidth="1"/>
    <col min="5813" max="5815" width="8.140625" style="59" customWidth="1"/>
    <col min="5816" max="5816" width="7.42578125" style="59" customWidth="1"/>
    <col min="5817" max="5817" width="5.7109375" style="59" customWidth="1"/>
    <col min="5818" max="5818" width="6.42578125" style="59" customWidth="1"/>
    <col min="5819" max="5819" width="5.7109375" style="59" customWidth="1"/>
    <col min="5820" max="5820" width="5.42578125" style="59" customWidth="1"/>
    <col min="5821" max="5821" width="5.28515625" style="59" customWidth="1"/>
    <col min="5822" max="5822" width="5.42578125" style="59" customWidth="1"/>
    <col min="5823" max="5823" width="5.28515625" style="59" customWidth="1"/>
    <col min="5824" max="5824" width="5.85546875" style="59" customWidth="1"/>
    <col min="5825" max="5825" width="6.140625" style="59" customWidth="1"/>
    <col min="5826" max="5965" width="9.140625" style="59"/>
    <col min="5966" max="5966" width="18.5703125" style="59" customWidth="1"/>
    <col min="5967" max="5967" width="3.5703125" style="59" customWidth="1"/>
    <col min="5968" max="5968" width="3" style="59" customWidth="1"/>
    <col min="5969" max="5969" width="8.140625" style="59" customWidth="1"/>
    <col min="5970" max="5975" width="0" style="59" hidden="1" customWidth="1"/>
    <col min="5976" max="5976" width="7.5703125" style="59" customWidth="1"/>
    <col min="5977" max="5997" width="0" style="59" hidden="1" customWidth="1"/>
    <col min="5998" max="5998" width="7.85546875" style="59" customWidth="1"/>
    <col min="5999" max="6015" width="0" style="59" hidden="1" customWidth="1"/>
    <col min="6016" max="6016" width="7.5703125" style="59" customWidth="1"/>
    <col min="6017" max="6036" width="0" style="59" hidden="1" customWidth="1"/>
    <col min="6037" max="6037" width="7.5703125" style="59" customWidth="1"/>
    <col min="6038" max="6056" width="0" style="59" hidden="1" customWidth="1"/>
    <col min="6057" max="6057" width="8.28515625" style="59" customWidth="1"/>
    <col min="6058" max="6068" width="0" style="59" hidden="1" customWidth="1"/>
    <col min="6069" max="6071" width="8.140625" style="59" customWidth="1"/>
    <col min="6072" max="6072" width="7.42578125" style="59" customWidth="1"/>
    <col min="6073" max="6073" width="5.7109375" style="59" customWidth="1"/>
    <col min="6074" max="6074" width="6.42578125" style="59" customWidth="1"/>
    <col min="6075" max="6075" width="5.7109375" style="59" customWidth="1"/>
    <col min="6076" max="6076" width="5.42578125" style="59" customWidth="1"/>
    <col min="6077" max="6077" width="5.28515625" style="59" customWidth="1"/>
    <col min="6078" max="6078" width="5.42578125" style="59" customWidth="1"/>
    <col min="6079" max="6079" width="5.28515625" style="59" customWidth="1"/>
    <col min="6080" max="6080" width="5.85546875" style="59" customWidth="1"/>
    <col min="6081" max="6081" width="6.140625" style="59" customWidth="1"/>
    <col min="6082" max="6221" width="9.140625" style="59"/>
    <col min="6222" max="6222" width="18.5703125" style="59" customWidth="1"/>
    <col min="6223" max="6223" width="3.5703125" style="59" customWidth="1"/>
    <col min="6224" max="6224" width="3" style="59" customWidth="1"/>
    <col min="6225" max="6225" width="8.140625" style="59" customWidth="1"/>
    <col min="6226" max="6231" width="0" style="59" hidden="1" customWidth="1"/>
    <col min="6232" max="6232" width="7.5703125" style="59" customWidth="1"/>
    <col min="6233" max="6253" width="0" style="59" hidden="1" customWidth="1"/>
    <col min="6254" max="6254" width="7.85546875" style="59" customWidth="1"/>
    <col min="6255" max="6271" width="0" style="59" hidden="1" customWidth="1"/>
    <col min="6272" max="6272" width="7.5703125" style="59" customWidth="1"/>
    <col min="6273" max="6292" width="0" style="59" hidden="1" customWidth="1"/>
    <col min="6293" max="6293" width="7.5703125" style="59" customWidth="1"/>
    <col min="6294" max="6312" width="0" style="59" hidden="1" customWidth="1"/>
    <col min="6313" max="6313" width="8.28515625" style="59" customWidth="1"/>
    <col min="6314" max="6324" width="0" style="59" hidden="1" customWidth="1"/>
    <col min="6325" max="6327" width="8.140625" style="59" customWidth="1"/>
    <col min="6328" max="6328" width="7.42578125" style="59" customWidth="1"/>
    <col min="6329" max="6329" width="5.7109375" style="59" customWidth="1"/>
    <col min="6330" max="6330" width="6.42578125" style="59" customWidth="1"/>
    <col min="6331" max="6331" width="5.7109375" style="59" customWidth="1"/>
    <col min="6332" max="6332" width="5.42578125" style="59" customWidth="1"/>
    <col min="6333" max="6333" width="5.28515625" style="59" customWidth="1"/>
    <col min="6334" max="6334" width="5.42578125" style="59" customWidth="1"/>
    <col min="6335" max="6335" width="5.28515625" style="59" customWidth="1"/>
    <col min="6336" max="6336" width="5.85546875" style="59" customWidth="1"/>
    <col min="6337" max="6337" width="6.140625" style="59" customWidth="1"/>
    <col min="6338" max="6477" width="9.140625" style="59"/>
    <col min="6478" max="6478" width="18.5703125" style="59" customWidth="1"/>
    <col min="6479" max="6479" width="3.5703125" style="59" customWidth="1"/>
    <col min="6480" max="6480" width="3" style="59" customWidth="1"/>
    <col min="6481" max="6481" width="8.140625" style="59" customWidth="1"/>
    <col min="6482" max="6487" width="0" style="59" hidden="1" customWidth="1"/>
    <col min="6488" max="6488" width="7.5703125" style="59" customWidth="1"/>
    <col min="6489" max="6509" width="0" style="59" hidden="1" customWidth="1"/>
    <col min="6510" max="6510" width="7.85546875" style="59" customWidth="1"/>
    <col min="6511" max="6527" width="0" style="59" hidden="1" customWidth="1"/>
    <col min="6528" max="6528" width="7.5703125" style="59" customWidth="1"/>
    <col min="6529" max="6548" width="0" style="59" hidden="1" customWidth="1"/>
    <col min="6549" max="6549" width="7.5703125" style="59" customWidth="1"/>
    <col min="6550" max="6568" width="0" style="59" hidden="1" customWidth="1"/>
    <col min="6569" max="6569" width="8.28515625" style="59" customWidth="1"/>
    <col min="6570" max="6580" width="0" style="59" hidden="1" customWidth="1"/>
    <col min="6581" max="6583" width="8.140625" style="59" customWidth="1"/>
    <col min="6584" max="6584" width="7.42578125" style="59" customWidth="1"/>
    <col min="6585" max="6585" width="5.7109375" style="59" customWidth="1"/>
    <col min="6586" max="6586" width="6.42578125" style="59" customWidth="1"/>
    <col min="6587" max="6587" width="5.7109375" style="59" customWidth="1"/>
    <col min="6588" max="6588" width="5.42578125" style="59" customWidth="1"/>
    <col min="6589" max="6589" width="5.28515625" style="59" customWidth="1"/>
    <col min="6590" max="6590" width="5.42578125" style="59" customWidth="1"/>
    <col min="6591" max="6591" width="5.28515625" style="59" customWidth="1"/>
    <col min="6592" max="6592" width="5.85546875" style="59" customWidth="1"/>
    <col min="6593" max="6593" width="6.140625" style="59" customWidth="1"/>
    <col min="6594" max="6733" width="9.140625" style="59"/>
    <col min="6734" max="6734" width="18.5703125" style="59" customWidth="1"/>
    <col min="6735" max="6735" width="3.5703125" style="59" customWidth="1"/>
    <col min="6736" max="6736" width="3" style="59" customWidth="1"/>
    <col min="6737" max="6737" width="8.140625" style="59" customWidth="1"/>
    <col min="6738" max="6743" width="0" style="59" hidden="1" customWidth="1"/>
    <col min="6744" max="6744" width="7.5703125" style="59" customWidth="1"/>
    <col min="6745" max="6765" width="0" style="59" hidden="1" customWidth="1"/>
    <col min="6766" max="6766" width="7.85546875" style="59" customWidth="1"/>
    <col min="6767" max="6783" width="0" style="59" hidden="1" customWidth="1"/>
    <col min="6784" max="6784" width="7.5703125" style="59" customWidth="1"/>
    <col min="6785" max="6804" width="0" style="59" hidden="1" customWidth="1"/>
    <col min="6805" max="6805" width="7.5703125" style="59" customWidth="1"/>
    <col min="6806" max="6824" width="0" style="59" hidden="1" customWidth="1"/>
    <col min="6825" max="6825" width="8.28515625" style="59" customWidth="1"/>
    <col min="6826" max="6836" width="0" style="59" hidden="1" customWidth="1"/>
    <col min="6837" max="6839" width="8.140625" style="59" customWidth="1"/>
    <col min="6840" max="6840" width="7.42578125" style="59" customWidth="1"/>
    <col min="6841" max="6841" width="5.7109375" style="59" customWidth="1"/>
    <col min="6842" max="6842" width="6.42578125" style="59" customWidth="1"/>
    <col min="6843" max="6843" width="5.7109375" style="59" customWidth="1"/>
    <col min="6844" max="6844" width="5.42578125" style="59" customWidth="1"/>
    <col min="6845" max="6845" width="5.28515625" style="59" customWidth="1"/>
    <col min="6846" max="6846" width="5.42578125" style="59" customWidth="1"/>
    <col min="6847" max="6847" width="5.28515625" style="59" customWidth="1"/>
    <col min="6848" max="6848" width="5.85546875" style="59" customWidth="1"/>
    <col min="6849" max="6849" width="6.140625" style="59" customWidth="1"/>
    <col min="6850" max="6989" width="9.140625" style="59"/>
    <col min="6990" max="6990" width="18.5703125" style="59" customWidth="1"/>
    <col min="6991" max="6991" width="3.5703125" style="59" customWidth="1"/>
    <col min="6992" max="6992" width="3" style="59" customWidth="1"/>
    <col min="6993" max="6993" width="8.140625" style="59" customWidth="1"/>
    <col min="6994" max="6999" width="0" style="59" hidden="1" customWidth="1"/>
    <col min="7000" max="7000" width="7.5703125" style="59" customWidth="1"/>
    <col min="7001" max="7021" width="0" style="59" hidden="1" customWidth="1"/>
    <col min="7022" max="7022" width="7.85546875" style="59" customWidth="1"/>
    <col min="7023" max="7039" width="0" style="59" hidden="1" customWidth="1"/>
    <col min="7040" max="7040" width="7.5703125" style="59" customWidth="1"/>
    <col min="7041" max="7060" width="0" style="59" hidden="1" customWidth="1"/>
    <col min="7061" max="7061" width="7.5703125" style="59" customWidth="1"/>
    <col min="7062" max="7080" width="0" style="59" hidden="1" customWidth="1"/>
    <col min="7081" max="7081" width="8.28515625" style="59" customWidth="1"/>
    <col min="7082" max="7092" width="0" style="59" hidden="1" customWidth="1"/>
    <col min="7093" max="7095" width="8.140625" style="59" customWidth="1"/>
    <col min="7096" max="7096" width="7.42578125" style="59" customWidth="1"/>
    <col min="7097" max="7097" width="5.7109375" style="59" customWidth="1"/>
    <col min="7098" max="7098" width="6.42578125" style="59" customWidth="1"/>
    <col min="7099" max="7099" width="5.7109375" style="59" customWidth="1"/>
    <col min="7100" max="7100" width="5.42578125" style="59" customWidth="1"/>
    <col min="7101" max="7101" width="5.28515625" style="59" customWidth="1"/>
    <col min="7102" max="7102" width="5.42578125" style="59" customWidth="1"/>
    <col min="7103" max="7103" width="5.28515625" style="59" customWidth="1"/>
    <col min="7104" max="7104" width="5.85546875" style="59" customWidth="1"/>
    <col min="7105" max="7105" width="6.140625" style="59" customWidth="1"/>
    <col min="7106" max="7245" width="9.140625" style="59"/>
    <col min="7246" max="7246" width="18.5703125" style="59" customWidth="1"/>
    <col min="7247" max="7247" width="3.5703125" style="59" customWidth="1"/>
    <col min="7248" max="7248" width="3" style="59" customWidth="1"/>
    <col min="7249" max="7249" width="8.140625" style="59" customWidth="1"/>
    <col min="7250" max="7255" width="0" style="59" hidden="1" customWidth="1"/>
    <col min="7256" max="7256" width="7.5703125" style="59" customWidth="1"/>
    <col min="7257" max="7277" width="0" style="59" hidden="1" customWidth="1"/>
    <col min="7278" max="7278" width="7.85546875" style="59" customWidth="1"/>
    <col min="7279" max="7295" width="0" style="59" hidden="1" customWidth="1"/>
    <col min="7296" max="7296" width="7.5703125" style="59" customWidth="1"/>
    <col min="7297" max="7316" width="0" style="59" hidden="1" customWidth="1"/>
    <col min="7317" max="7317" width="7.5703125" style="59" customWidth="1"/>
    <col min="7318" max="7336" width="0" style="59" hidden="1" customWidth="1"/>
    <col min="7337" max="7337" width="8.28515625" style="59" customWidth="1"/>
    <col min="7338" max="7348" width="0" style="59" hidden="1" customWidth="1"/>
    <col min="7349" max="7351" width="8.140625" style="59" customWidth="1"/>
    <col min="7352" max="7352" width="7.42578125" style="59" customWidth="1"/>
    <col min="7353" max="7353" width="5.7109375" style="59" customWidth="1"/>
    <col min="7354" max="7354" width="6.42578125" style="59" customWidth="1"/>
    <col min="7355" max="7355" width="5.7109375" style="59" customWidth="1"/>
    <col min="7356" max="7356" width="5.42578125" style="59" customWidth="1"/>
    <col min="7357" max="7357" width="5.28515625" style="59" customWidth="1"/>
    <col min="7358" max="7358" width="5.42578125" style="59" customWidth="1"/>
    <col min="7359" max="7359" width="5.28515625" style="59" customWidth="1"/>
    <col min="7360" max="7360" width="5.85546875" style="59" customWidth="1"/>
    <col min="7361" max="7361" width="6.140625" style="59" customWidth="1"/>
    <col min="7362" max="7501" width="9.140625" style="59"/>
    <col min="7502" max="7502" width="18.5703125" style="59" customWidth="1"/>
    <col min="7503" max="7503" width="3.5703125" style="59" customWidth="1"/>
    <col min="7504" max="7504" width="3" style="59" customWidth="1"/>
    <col min="7505" max="7505" width="8.140625" style="59" customWidth="1"/>
    <col min="7506" max="7511" width="0" style="59" hidden="1" customWidth="1"/>
    <col min="7512" max="7512" width="7.5703125" style="59" customWidth="1"/>
    <col min="7513" max="7533" width="0" style="59" hidden="1" customWidth="1"/>
    <col min="7534" max="7534" width="7.85546875" style="59" customWidth="1"/>
    <col min="7535" max="7551" width="0" style="59" hidden="1" customWidth="1"/>
    <col min="7552" max="7552" width="7.5703125" style="59" customWidth="1"/>
    <col min="7553" max="7572" width="0" style="59" hidden="1" customWidth="1"/>
    <col min="7573" max="7573" width="7.5703125" style="59" customWidth="1"/>
    <col min="7574" max="7592" width="0" style="59" hidden="1" customWidth="1"/>
    <col min="7593" max="7593" width="8.28515625" style="59" customWidth="1"/>
    <col min="7594" max="7604" width="0" style="59" hidden="1" customWidth="1"/>
    <col min="7605" max="7607" width="8.140625" style="59" customWidth="1"/>
    <col min="7608" max="7608" width="7.42578125" style="59" customWidth="1"/>
    <col min="7609" max="7609" width="5.7109375" style="59" customWidth="1"/>
    <col min="7610" max="7610" width="6.42578125" style="59" customWidth="1"/>
    <col min="7611" max="7611" width="5.7109375" style="59" customWidth="1"/>
    <col min="7612" max="7612" width="5.42578125" style="59" customWidth="1"/>
    <col min="7613" max="7613" width="5.28515625" style="59" customWidth="1"/>
    <col min="7614" max="7614" width="5.42578125" style="59" customWidth="1"/>
    <col min="7615" max="7615" width="5.28515625" style="59" customWidth="1"/>
    <col min="7616" max="7616" width="5.85546875" style="59" customWidth="1"/>
    <col min="7617" max="7617" width="6.140625" style="59" customWidth="1"/>
    <col min="7618" max="7757" width="9.140625" style="59"/>
    <col min="7758" max="7758" width="18.5703125" style="59" customWidth="1"/>
    <col min="7759" max="7759" width="3.5703125" style="59" customWidth="1"/>
    <col min="7760" max="7760" width="3" style="59" customWidth="1"/>
    <col min="7761" max="7761" width="8.140625" style="59" customWidth="1"/>
    <col min="7762" max="7767" width="0" style="59" hidden="1" customWidth="1"/>
    <col min="7768" max="7768" width="7.5703125" style="59" customWidth="1"/>
    <col min="7769" max="7789" width="0" style="59" hidden="1" customWidth="1"/>
    <col min="7790" max="7790" width="7.85546875" style="59" customWidth="1"/>
    <col min="7791" max="7807" width="0" style="59" hidden="1" customWidth="1"/>
    <col min="7808" max="7808" width="7.5703125" style="59" customWidth="1"/>
    <col min="7809" max="7828" width="0" style="59" hidden="1" customWidth="1"/>
    <col min="7829" max="7829" width="7.5703125" style="59" customWidth="1"/>
    <col min="7830" max="7848" width="0" style="59" hidden="1" customWidth="1"/>
    <col min="7849" max="7849" width="8.28515625" style="59" customWidth="1"/>
    <col min="7850" max="7860" width="0" style="59" hidden="1" customWidth="1"/>
    <col min="7861" max="7863" width="8.140625" style="59" customWidth="1"/>
    <col min="7864" max="7864" width="7.42578125" style="59" customWidth="1"/>
    <col min="7865" max="7865" width="5.7109375" style="59" customWidth="1"/>
    <col min="7866" max="7866" width="6.42578125" style="59" customWidth="1"/>
    <col min="7867" max="7867" width="5.7109375" style="59" customWidth="1"/>
    <col min="7868" max="7868" width="5.42578125" style="59" customWidth="1"/>
    <col min="7869" max="7869" width="5.28515625" style="59" customWidth="1"/>
    <col min="7870" max="7870" width="5.42578125" style="59" customWidth="1"/>
    <col min="7871" max="7871" width="5.28515625" style="59" customWidth="1"/>
    <col min="7872" max="7872" width="5.85546875" style="59" customWidth="1"/>
    <col min="7873" max="7873" width="6.140625" style="59" customWidth="1"/>
    <col min="7874" max="8013" width="9.140625" style="59"/>
    <col min="8014" max="8014" width="18.5703125" style="59" customWidth="1"/>
    <col min="8015" max="8015" width="3.5703125" style="59" customWidth="1"/>
    <col min="8016" max="8016" width="3" style="59" customWidth="1"/>
    <col min="8017" max="8017" width="8.140625" style="59" customWidth="1"/>
    <col min="8018" max="8023" width="0" style="59" hidden="1" customWidth="1"/>
    <col min="8024" max="8024" width="7.5703125" style="59" customWidth="1"/>
    <col min="8025" max="8045" width="0" style="59" hidden="1" customWidth="1"/>
    <col min="8046" max="8046" width="7.85546875" style="59" customWidth="1"/>
    <col min="8047" max="8063" width="0" style="59" hidden="1" customWidth="1"/>
    <col min="8064" max="8064" width="7.5703125" style="59" customWidth="1"/>
    <col min="8065" max="8084" width="0" style="59" hidden="1" customWidth="1"/>
    <col min="8085" max="8085" width="7.5703125" style="59" customWidth="1"/>
    <col min="8086" max="8104" width="0" style="59" hidden="1" customWidth="1"/>
    <col min="8105" max="8105" width="8.28515625" style="59" customWidth="1"/>
    <col min="8106" max="8116" width="0" style="59" hidden="1" customWidth="1"/>
    <col min="8117" max="8119" width="8.140625" style="59" customWidth="1"/>
    <col min="8120" max="8120" width="7.42578125" style="59" customWidth="1"/>
    <col min="8121" max="8121" width="5.7109375" style="59" customWidth="1"/>
    <col min="8122" max="8122" width="6.42578125" style="59" customWidth="1"/>
    <col min="8123" max="8123" width="5.7109375" style="59" customWidth="1"/>
    <col min="8124" max="8124" width="5.42578125" style="59" customWidth="1"/>
    <col min="8125" max="8125" width="5.28515625" style="59" customWidth="1"/>
    <col min="8126" max="8126" width="5.42578125" style="59" customWidth="1"/>
    <col min="8127" max="8127" width="5.28515625" style="59" customWidth="1"/>
    <col min="8128" max="8128" width="5.85546875" style="59" customWidth="1"/>
    <col min="8129" max="8129" width="6.140625" style="59" customWidth="1"/>
    <col min="8130" max="8269" width="9.140625" style="59"/>
    <col min="8270" max="8270" width="18.5703125" style="59" customWidth="1"/>
    <col min="8271" max="8271" width="3.5703125" style="59" customWidth="1"/>
    <col min="8272" max="8272" width="3" style="59" customWidth="1"/>
    <col min="8273" max="8273" width="8.140625" style="59" customWidth="1"/>
    <col min="8274" max="8279" width="0" style="59" hidden="1" customWidth="1"/>
    <col min="8280" max="8280" width="7.5703125" style="59" customWidth="1"/>
    <col min="8281" max="8301" width="0" style="59" hidden="1" customWidth="1"/>
    <col min="8302" max="8302" width="7.85546875" style="59" customWidth="1"/>
    <col min="8303" max="8319" width="0" style="59" hidden="1" customWidth="1"/>
    <col min="8320" max="8320" width="7.5703125" style="59" customWidth="1"/>
    <col min="8321" max="8340" width="0" style="59" hidden="1" customWidth="1"/>
    <col min="8341" max="8341" width="7.5703125" style="59" customWidth="1"/>
    <col min="8342" max="8360" width="0" style="59" hidden="1" customWidth="1"/>
    <col min="8361" max="8361" width="8.28515625" style="59" customWidth="1"/>
    <col min="8362" max="8372" width="0" style="59" hidden="1" customWidth="1"/>
    <col min="8373" max="8375" width="8.140625" style="59" customWidth="1"/>
    <col min="8376" max="8376" width="7.42578125" style="59" customWidth="1"/>
    <col min="8377" max="8377" width="5.7109375" style="59" customWidth="1"/>
    <col min="8378" max="8378" width="6.42578125" style="59" customWidth="1"/>
    <col min="8379" max="8379" width="5.7109375" style="59" customWidth="1"/>
    <col min="8380" max="8380" width="5.42578125" style="59" customWidth="1"/>
    <col min="8381" max="8381" width="5.28515625" style="59" customWidth="1"/>
    <col min="8382" max="8382" width="5.42578125" style="59" customWidth="1"/>
    <col min="8383" max="8383" width="5.28515625" style="59" customWidth="1"/>
    <col min="8384" max="8384" width="5.85546875" style="59" customWidth="1"/>
    <col min="8385" max="8385" width="6.140625" style="59" customWidth="1"/>
    <col min="8386" max="8525" width="9.140625" style="59"/>
    <col min="8526" max="8526" width="18.5703125" style="59" customWidth="1"/>
    <col min="8527" max="8527" width="3.5703125" style="59" customWidth="1"/>
    <col min="8528" max="8528" width="3" style="59" customWidth="1"/>
    <col min="8529" max="8529" width="8.140625" style="59" customWidth="1"/>
    <col min="8530" max="8535" width="0" style="59" hidden="1" customWidth="1"/>
    <col min="8536" max="8536" width="7.5703125" style="59" customWidth="1"/>
    <col min="8537" max="8557" width="0" style="59" hidden="1" customWidth="1"/>
    <col min="8558" max="8558" width="7.85546875" style="59" customWidth="1"/>
    <col min="8559" max="8575" width="0" style="59" hidden="1" customWidth="1"/>
    <col min="8576" max="8576" width="7.5703125" style="59" customWidth="1"/>
    <col min="8577" max="8596" width="0" style="59" hidden="1" customWidth="1"/>
    <col min="8597" max="8597" width="7.5703125" style="59" customWidth="1"/>
    <col min="8598" max="8616" width="0" style="59" hidden="1" customWidth="1"/>
    <col min="8617" max="8617" width="8.28515625" style="59" customWidth="1"/>
    <col min="8618" max="8628" width="0" style="59" hidden="1" customWidth="1"/>
    <col min="8629" max="8631" width="8.140625" style="59" customWidth="1"/>
    <col min="8632" max="8632" width="7.42578125" style="59" customWidth="1"/>
    <col min="8633" max="8633" width="5.7109375" style="59" customWidth="1"/>
    <col min="8634" max="8634" width="6.42578125" style="59" customWidth="1"/>
    <col min="8635" max="8635" width="5.7109375" style="59" customWidth="1"/>
    <col min="8636" max="8636" width="5.42578125" style="59" customWidth="1"/>
    <col min="8637" max="8637" width="5.28515625" style="59" customWidth="1"/>
    <col min="8638" max="8638" width="5.42578125" style="59" customWidth="1"/>
    <col min="8639" max="8639" width="5.28515625" style="59" customWidth="1"/>
    <col min="8640" max="8640" width="5.85546875" style="59" customWidth="1"/>
    <col min="8641" max="8641" width="6.140625" style="59" customWidth="1"/>
    <col min="8642" max="8781" width="9.140625" style="59"/>
    <col min="8782" max="8782" width="18.5703125" style="59" customWidth="1"/>
    <col min="8783" max="8783" width="3.5703125" style="59" customWidth="1"/>
    <col min="8784" max="8784" width="3" style="59" customWidth="1"/>
    <col min="8785" max="8785" width="8.140625" style="59" customWidth="1"/>
    <col min="8786" max="8791" width="0" style="59" hidden="1" customWidth="1"/>
    <col min="8792" max="8792" width="7.5703125" style="59" customWidth="1"/>
    <col min="8793" max="8813" width="0" style="59" hidden="1" customWidth="1"/>
    <col min="8814" max="8814" width="7.85546875" style="59" customWidth="1"/>
    <col min="8815" max="8831" width="0" style="59" hidden="1" customWidth="1"/>
    <col min="8832" max="8832" width="7.5703125" style="59" customWidth="1"/>
    <col min="8833" max="8852" width="0" style="59" hidden="1" customWidth="1"/>
    <col min="8853" max="8853" width="7.5703125" style="59" customWidth="1"/>
    <col min="8854" max="8872" width="0" style="59" hidden="1" customWidth="1"/>
    <col min="8873" max="8873" width="8.28515625" style="59" customWidth="1"/>
    <col min="8874" max="8884" width="0" style="59" hidden="1" customWidth="1"/>
    <col min="8885" max="8887" width="8.140625" style="59" customWidth="1"/>
    <col min="8888" max="8888" width="7.42578125" style="59" customWidth="1"/>
    <col min="8889" max="8889" width="5.7109375" style="59" customWidth="1"/>
    <col min="8890" max="8890" width="6.42578125" style="59" customWidth="1"/>
    <col min="8891" max="8891" width="5.7109375" style="59" customWidth="1"/>
    <col min="8892" max="8892" width="5.42578125" style="59" customWidth="1"/>
    <col min="8893" max="8893" width="5.28515625" style="59" customWidth="1"/>
    <col min="8894" max="8894" width="5.42578125" style="59" customWidth="1"/>
    <col min="8895" max="8895" width="5.28515625" style="59" customWidth="1"/>
    <col min="8896" max="8896" width="5.85546875" style="59" customWidth="1"/>
    <col min="8897" max="8897" width="6.140625" style="59" customWidth="1"/>
    <col min="8898" max="9037" width="9.140625" style="59"/>
    <col min="9038" max="9038" width="18.5703125" style="59" customWidth="1"/>
    <col min="9039" max="9039" width="3.5703125" style="59" customWidth="1"/>
    <col min="9040" max="9040" width="3" style="59" customWidth="1"/>
    <col min="9041" max="9041" width="8.140625" style="59" customWidth="1"/>
    <col min="9042" max="9047" width="0" style="59" hidden="1" customWidth="1"/>
    <col min="9048" max="9048" width="7.5703125" style="59" customWidth="1"/>
    <col min="9049" max="9069" width="0" style="59" hidden="1" customWidth="1"/>
    <col min="9070" max="9070" width="7.85546875" style="59" customWidth="1"/>
    <col min="9071" max="9087" width="0" style="59" hidden="1" customWidth="1"/>
    <col min="9088" max="9088" width="7.5703125" style="59" customWidth="1"/>
    <col min="9089" max="9108" width="0" style="59" hidden="1" customWidth="1"/>
    <col min="9109" max="9109" width="7.5703125" style="59" customWidth="1"/>
    <col min="9110" max="9128" width="0" style="59" hidden="1" customWidth="1"/>
    <col min="9129" max="9129" width="8.28515625" style="59" customWidth="1"/>
    <col min="9130" max="9140" width="0" style="59" hidden="1" customWidth="1"/>
    <col min="9141" max="9143" width="8.140625" style="59" customWidth="1"/>
    <col min="9144" max="9144" width="7.42578125" style="59" customWidth="1"/>
    <col min="9145" max="9145" width="5.7109375" style="59" customWidth="1"/>
    <col min="9146" max="9146" width="6.42578125" style="59" customWidth="1"/>
    <col min="9147" max="9147" width="5.7109375" style="59" customWidth="1"/>
    <col min="9148" max="9148" width="5.42578125" style="59" customWidth="1"/>
    <col min="9149" max="9149" width="5.28515625" style="59" customWidth="1"/>
    <col min="9150" max="9150" width="5.42578125" style="59" customWidth="1"/>
    <col min="9151" max="9151" width="5.28515625" style="59" customWidth="1"/>
    <col min="9152" max="9152" width="5.85546875" style="59" customWidth="1"/>
    <col min="9153" max="9153" width="6.140625" style="59" customWidth="1"/>
    <col min="9154" max="9293" width="9.140625" style="59"/>
    <col min="9294" max="9294" width="18.5703125" style="59" customWidth="1"/>
    <col min="9295" max="9295" width="3.5703125" style="59" customWidth="1"/>
    <col min="9296" max="9296" width="3" style="59" customWidth="1"/>
    <col min="9297" max="9297" width="8.140625" style="59" customWidth="1"/>
    <col min="9298" max="9303" width="0" style="59" hidden="1" customWidth="1"/>
    <col min="9304" max="9304" width="7.5703125" style="59" customWidth="1"/>
    <col min="9305" max="9325" width="0" style="59" hidden="1" customWidth="1"/>
    <col min="9326" max="9326" width="7.85546875" style="59" customWidth="1"/>
    <col min="9327" max="9343" width="0" style="59" hidden="1" customWidth="1"/>
    <col min="9344" max="9344" width="7.5703125" style="59" customWidth="1"/>
    <col min="9345" max="9364" width="0" style="59" hidden="1" customWidth="1"/>
    <col min="9365" max="9365" width="7.5703125" style="59" customWidth="1"/>
    <col min="9366" max="9384" width="0" style="59" hidden="1" customWidth="1"/>
    <col min="9385" max="9385" width="8.28515625" style="59" customWidth="1"/>
    <col min="9386" max="9396" width="0" style="59" hidden="1" customWidth="1"/>
    <col min="9397" max="9399" width="8.140625" style="59" customWidth="1"/>
    <col min="9400" max="9400" width="7.42578125" style="59" customWidth="1"/>
    <col min="9401" max="9401" width="5.7109375" style="59" customWidth="1"/>
    <col min="9402" max="9402" width="6.42578125" style="59" customWidth="1"/>
    <col min="9403" max="9403" width="5.7109375" style="59" customWidth="1"/>
    <col min="9404" max="9404" width="5.42578125" style="59" customWidth="1"/>
    <col min="9405" max="9405" width="5.28515625" style="59" customWidth="1"/>
    <col min="9406" max="9406" width="5.42578125" style="59" customWidth="1"/>
    <col min="9407" max="9407" width="5.28515625" style="59" customWidth="1"/>
    <col min="9408" max="9408" width="5.85546875" style="59" customWidth="1"/>
    <col min="9409" max="9409" width="6.140625" style="59" customWidth="1"/>
    <col min="9410" max="9549" width="9.140625" style="59"/>
    <col min="9550" max="9550" width="18.5703125" style="59" customWidth="1"/>
    <col min="9551" max="9551" width="3.5703125" style="59" customWidth="1"/>
    <col min="9552" max="9552" width="3" style="59" customWidth="1"/>
    <col min="9553" max="9553" width="8.140625" style="59" customWidth="1"/>
    <col min="9554" max="9559" width="0" style="59" hidden="1" customWidth="1"/>
    <col min="9560" max="9560" width="7.5703125" style="59" customWidth="1"/>
    <col min="9561" max="9581" width="0" style="59" hidden="1" customWidth="1"/>
    <col min="9582" max="9582" width="7.85546875" style="59" customWidth="1"/>
    <col min="9583" max="9599" width="0" style="59" hidden="1" customWidth="1"/>
    <col min="9600" max="9600" width="7.5703125" style="59" customWidth="1"/>
    <col min="9601" max="9620" width="0" style="59" hidden="1" customWidth="1"/>
    <col min="9621" max="9621" width="7.5703125" style="59" customWidth="1"/>
    <col min="9622" max="9640" width="0" style="59" hidden="1" customWidth="1"/>
    <col min="9641" max="9641" width="8.28515625" style="59" customWidth="1"/>
    <col min="9642" max="9652" width="0" style="59" hidden="1" customWidth="1"/>
    <col min="9653" max="9655" width="8.140625" style="59" customWidth="1"/>
    <col min="9656" max="9656" width="7.42578125" style="59" customWidth="1"/>
    <col min="9657" max="9657" width="5.7109375" style="59" customWidth="1"/>
    <col min="9658" max="9658" width="6.42578125" style="59" customWidth="1"/>
    <col min="9659" max="9659" width="5.7109375" style="59" customWidth="1"/>
    <col min="9660" max="9660" width="5.42578125" style="59" customWidth="1"/>
    <col min="9661" max="9661" width="5.28515625" style="59" customWidth="1"/>
    <col min="9662" max="9662" width="5.42578125" style="59" customWidth="1"/>
    <col min="9663" max="9663" width="5.28515625" style="59" customWidth="1"/>
    <col min="9664" max="9664" width="5.85546875" style="59" customWidth="1"/>
    <col min="9665" max="9665" width="6.140625" style="59" customWidth="1"/>
    <col min="9666" max="9805" width="9.140625" style="59"/>
    <col min="9806" max="9806" width="18.5703125" style="59" customWidth="1"/>
    <col min="9807" max="9807" width="3.5703125" style="59" customWidth="1"/>
    <col min="9808" max="9808" width="3" style="59" customWidth="1"/>
    <col min="9809" max="9809" width="8.140625" style="59" customWidth="1"/>
    <col min="9810" max="9815" width="0" style="59" hidden="1" customWidth="1"/>
    <col min="9816" max="9816" width="7.5703125" style="59" customWidth="1"/>
    <col min="9817" max="9837" width="0" style="59" hidden="1" customWidth="1"/>
    <col min="9838" max="9838" width="7.85546875" style="59" customWidth="1"/>
    <col min="9839" max="9855" width="0" style="59" hidden="1" customWidth="1"/>
    <col min="9856" max="9856" width="7.5703125" style="59" customWidth="1"/>
    <col min="9857" max="9876" width="0" style="59" hidden="1" customWidth="1"/>
    <col min="9877" max="9877" width="7.5703125" style="59" customWidth="1"/>
    <col min="9878" max="9896" width="0" style="59" hidden="1" customWidth="1"/>
    <col min="9897" max="9897" width="8.28515625" style="59" customWidth="1"/>
    <col min="9898" max="9908" width="0" style="59" hidden="1" customWidth="1"/>
    <col min="9909" max="9911" width="8.140625" style="59" customWidth="1"/>
    <col min="9912" max="9912" width="7.42578125" style="59" customWidth="1"/>
    <col min="9913" max="9913" width="5.7109375" style="59" customWidth="1"/>
    <col min="9914" max="9914" width="6.42578125" style="59" customWidth="1"/>
    <col min="9915" max="9915" width="5.7109375" style="59" customWidth="1"/>
    <col min="9916" max="9916" width="5.42578125" style="59" customWidth="1"/>
    <col min="9917" max="9917" width="5.28515625" style="59" customWidth="1"/>
    <col min="9918" max="9918" width="5.42578125" style="59" customWidth="1"/>
    <col min="9919" max="9919" width="5.28515625" style="59" customWidth="1"/>
    <col min="9920" max="9920" width="5.85546875" style="59" customWidth="1"/>
    <col min="9921" max="9921" width="6.140625" style="59" customWidth="1"/>
    <col min="9922" max="10061" width="9.140625" style="59"/>
    <col min="10062" max="10062" width="18.5703125" style="59" customWidth="1"/>
    <col min="10063" max="10063" width="3.5703125" style="59" customWidth="1"/>
    <col min="10064" max="10064" width="3" style="59" customWidth="1"/>
    <col min="10065" max="10065" width="8.140625" style="59" customWidth="1"/>
    <col min="10066" max="10071" width="0" style="59" hidden="1" customWidth="1"/>
    <col min="10072" max="10072" width="7.5703125" style="59" customWidth="1"/>
    <col min="10073" max="10093" width="0" style="59" hidden="1" customWidth="1"/>
    <col min="10094" max="10094" width="7.85546875" style="59" customWidth="1"/>
    <col min="10095" max="10111" width="0" style="59" hidden="1" customWidth="1"/>
    <col min="10112" max="10112" width="7.5703125" style="59" customWidth="1"/>
    <col min="10113" max="10132" width="0" style="59" hidden="1" customWidth="1"/>
    <col min="10133" max="10133" width="7.5703125" style="59" customWidth="1"/>
    <col min="10134" max="10152" width="0" style="59" hidden="1" customWidth="1"/>
    <col min="10153" max="10153" width="8.28515625" style="59" customWidth="1"/>
    <col min="10154" max="10164" width="0" style="59" hidden="1" customWidth="1"/>
    <col min="10165" max="10167" width="8.140625" style="59" customWidth="1"/>
    <col min="10168" max="10168" width="7.42578125" style="59" customWidth="1"/>
    <col min="10169" max="10169" width="5.7109375" style="59" customWidth="1"/>
    <col min="10170" max="10170" width="6.42578125" style="59" customWidth="1"/>
    <col min="10171" max="10171" width="5.7109375" style="59" customWidth="1"/>
    <col min="10172" max="10172" width="5.42578125" style="59" customWidth="1"/>
    <col min="10173" max="10173" width="5.28515625" style="59" customWidth="1"/>
    <col min="10174" max="10174" width="5.42578125" style="59" customWidth="1"/>
    <col min="10175" max="10175" width="5.28515625" style="59" customWidth="1"/>
    <col min="10176" max="10176" width="5.85546875" style="59" customWidth="1"/>
    <col min="10177" max="10177" width="6.140625" style="59" customWidth="1"/>
    <col min="10178" max="10317" width="9.140625" style="59"/>
    <col min="10318" max="10318" width="18.5703125" style="59" customWidth="1"/>
    <col min="10319" max="10319" width="3.5703125" style="59" customWidth="1"/>
    <col min="10320" max="10320" width="3" style="59" customWidth="1"/>
    <col min="10321" max="10321" width="8.140625" style="59" customWidth="1"/>
    <col min="10322" max="10327" width="0" style="59" hidden="1" customWidth="1"/>
    <col min="10328" max="10328" width="7.5703125" style="59" customWidth="1"/>
    <col min="10329" max="10349" width="0" style="59" hidden="1" customWidth="1"/>
    <col min="10350" max="10350" width="7.85546875" style="59" customWidth="1"/>
    <col min="10351" max="10367" width="0" style="59" hidden="1" customWidth="1"/>
    <col min="10368" max="10368" width="7.5703125" style="59" customWidth="1"/>
    <col min="10369" max="10388" width="0" style="59" hidden="1" customWidth="1"/>
    <col min="10389" max="10389" width="7.5703125" style="59" customWidth="1"/>
    <col min="10390" max="10408" width="0" style="59" hidden="1" customWidth="1"/>
    <col min="10409" max="10409" width="8.28515625" style="59" customWidth="1"/>
    <col min="10410" max="10420" width="0" style="59" hidden="1" customWidth="1"/>
    <col min="10421" max="10423" width="8.140625" style="59" customWidth="1"/>
    <col min="10424" max="10424" width="7.42578125" style="59" customWidth="1"/>
    <col min="10425" max="10425" width="5.7109375" style="59" customWidth="1"/>
    <col min="10426" max="10426" width="6.42578125" style="59" customWidth="1"/>
    <col min="10427" max="10427" width="5.7109375" style="59" customWidth="1"/>
    <col min="10428" max="10428" width="5.42578125" style="59" customWidth="1"/>
    <col min="10429" max="10429" width="5.28515625" style="59" customWidth="1"/>
    <col min="10430" max="10430" width="5.42578125" style="59" customWidth="1"/>
    <col min="10431" max="10431" width="5.28515625" style="59" customWidth="1"/>
    <col min="10432" max="10432" width="5.85546875" style="59" customWidth="1"/>
    <col min="10433" max="10433" width="6.140625" style="59" customWidth="1"/>
    <col min="10434" max="10573" width="9.140625" style="59"/>
    <col min="10574" max="10574" width="18.5703125" style="59" customWidth="1"/>
    <col min="10575" max="10575" width="3.5703125" style="59" customWidth="1"/>
    <col min="10576" max="10576" width="3" style="59" customWidth="1"/>
    <col min="10577" max="10577" width="8.140625" style="59" customWidth="1"/>
    <col min="10578" max="10583" width="0" style="59" hidden="1" customWidth="1"/>
    <col min="10584" max="10584" width="7.5703125" style="59" customWidth="1"/>
    <col min="10585" max="10605" width="0" style="59" hidden="1" customWidth="1"/>
    <col min="10606" max="10606" width="7.85546875" style="59" customWidth="1"/>
    <col min="10607" max="10623" width="0" style="59" hidden="1" customWidth="1"/>
    <col min="10624" max="10624" width="7.5703125" style="59" customWidth="1"/>
    <col min="10625" max="10644" width="0" style="59" hidden="1" customWidth="1"/>
    <col min="10645" max="10645" width="7.5703125" style="59" customWidth="1"/>
    <col min="10646" max="10664" width="0" style="59" hidden="1" customWidth="1"/>
    <col min="10665" max="10665" width="8.28515625" style="59" customWidth="1"/>
    <col min="10666" max="10676" width="0" style="59" hidden="1" customWidth="1"/>
    <col min="10677" max="10679" width="8.140625" style="59" customWidth="1"/>
    <col min="10680" max="10680" width="7.42578125" style="59" customWidth="1"/>
    <col min="10681" max="10681" width="5.7109375" style="59" customWidth="1"/>
    <col min="10682" max="10682" width="6.42578125" style="59" customWidth="1"/>
    <col min="10683" max="10683" width="5.7109375" style="59" customWidth="1"/>
    <col min="10684" max="10684" width="5.42578125" style="59" customWidth="1"/>
    <col min="10685" max="10685" width="5.28515625" style="59" customWidth="1"/>
    <col min="10686" max="10686" width="5.42578125" style="59" customWidth="1"/>
    <col min="10687" max="10687" width="5.28515625" style="59" customWidth="1"/>
    <col min="10688" max="10688" width="5.85546875" style="59" customWidth="1"/>
    <col min="10689" max="10689" width="6.140625" style="59" customWidth="1"/>
    <col min="10690" max="10829" width="9.140625" style="59"/>
    <col min="10830" max="10830" width="18.5703125" style="59" customWidth="1"/>
    <col min="10831" max="10831" width="3.5703125" style="59" customWidth="1"/>
    <col min="10832" max="10832" width="3" style="59" customWidth="1"/>
    <col min="10833" max="10833" width="8.140625" style="59" customWidth="1"/>
    <col min="10834" max="10839" width="0" style="59" hidden="1" customWidth="1"/>
    <col min="10840" max="10840" width="7.5703125" style="59" customWidth="1"/>
    <col min="10841" max="10861" width="0" style="59" hidden="1" customWidth="1"/>
    <col min="10862" max="10862" width="7.85546875" style="59" customWidth="1"/>
    <col min="10863" max="10879" width="0" style="59" hidden="1" customWidth="1"/>
    <col min="10880" max="10880" width="7.5703125" style="59" customWidth="1"/>
    <col min="10881" max="10900" width="0" style="59" hidden="1" customWidth="1"/>
    <col min="10901" max="10901" width="7.5703125" style="59" customWidth="1"/>
    <col min="10902" max="10920" width="0" style="59" hidden="1" customWidth="1"/>
    <col min="10921" max="10921" width="8.28515625" style="59" customWidth="1"/>
    <col min="10922" max="10932" width="0" style="59" hidden="1" customWidth="1"/>
    <col min="10933" max="10935" width="8.140625" style="59" customWidth="1"/>
    <col min="10936" max="10936" width="7.42578125" style="59" customWidth="1"/>
    <col min="10937" max="10937" width="5.7109375" style="59" customWidth="1"/>
    <col min="10938" max="10938" width="6.42578125" style="59" customWidth="1"/>
    <col min="10939" max="10939" width="5.7109375" style="59" customWidth="1"/>
    <col min="10940" max="10940" width="5.42578125" style="59" customWidth="1"/>
    <col min="10941" max="10941" width="5.28515625" style="59" customWidth="1"/>
    <col min="10942" max="10942" width="5.42578125" style="59" customWidth="1"/>
    <col min="10943" max="10943" width="5.28515625" style="59" customWidth="1"/>
    <col min="10944" max="10944" width="5.85546875" style="59" customWidth="1"/>
    <col min="10945" max="10945" width="6.140625" style="59" customWidth="1"/>
    <col min="10946" max="11085" width="9.140625" style="59"/>
    <col min="11086" max="11086" width="18.5703125" style="59" customWidth="1"/>
    <col min="11087" max="11087" width="3.5703125" style="59" customWidth="1"/>
    <col min="11088" max="11088" width="3" style="59" customWidth="1"/>
    <col min="11089" max="11089" width="8.140625" style="59" customWidth="1"/>
    <col min="11090" max="11095" width="0" style="59" hidden="1" customWidth="1"/>
    <col min="11096" max="11096" width="7.5703125" style="59" customWidth="1"/>
    <col min="11097" max="11117" width="0" style="59" hidden="1" customWidth="1"/>
    <col min="11118" max="11118" width="7.85546875" style="59" customWidth="1"/>
    <col min="11119" max="11135" width="0" style="59" hidden="1" customWidth="1"/>
    <col min="11136" max="11136" width="7.5703125" style="59" customWidth="1"/>
    <col min="11137" max="11156" width="0" style="59" hidden="1" customWidth="1"/>
    <col min="11157" max="11157" width="7.5703125" style="59" customWidth="1"/>
    <col min="11158" max="11176" width="0" style="59" hidden="1" customWidth="1"/>
    <col min="11177" max="11177" width="8.28515625" style="59" customWidth="1"/>
    <col min="11178" max="11188" width="0" style="59" hidden="1" customWidth="1"/>
    <col min="11189" max="11191" width="8.140625" style="59" customWidth="1"/>
    <col min="11192" max="11192" width="7.42578125" style="59" customWidth="1"/>
    <col min="11193" max="11193" width="5.7109375" style="59" customWidth="1"/>
    <col min="11194" max="11194" width="6.42578125" style="59" customWidth="1"/>
    <col min="11195" max="11195" width="5.7109375" style="59" customWidth="1"/>
    <col min="11196" max="11196" width="5.42578125" style="59" customWidth="1"/>
    <col min="11197" max="11197" width="5.28515625" style="59" customWidth="1"/>
    <col min="11198" max="11198" width="5.42578125" style="59" customWidth="1"/>
    <col min="11199" max="11199" width="5.28515625" style="59" customWidth="1"/>
    <col min="11200" max="11200" width="5.85546875" style="59" customWidth="1"/>
    <col min="11201" max="11201" width="6.140625" style="59" customWidth="1"/>
    <col min="11202" max="11341" width="9.140625" style="59"/>
    <col min="11342" max="11342" width="18.5703125" style="59" customWidth="1"/>
    <col min="11343" max="11343" width="3.5703125" style="59" customWidth="1"/>
    <col min="11344" max="11344" width="3" style="59" customWidth="1"/>
    <col min="11345" max="11345" width="8.140625" style="59" customWidth="1"/>
    <col min="11346" max="11351" width="0" style="59" hidden="1" customWidth="1"/>
    <col min="11352" max="11352" width="7.5703125" style="59" customWidth="1"/>
    <col min="11353" max="11373" width="0" style="59" hidden="1" customWidth="1"/>
    <col min="11374" max="11374" width="7.85546875" style="59" customWidth="1"/>
    <col min="11375" max="11391" width="0" style="59" hidden="1" customWidth="1"/>
    <col min="11392" max="11392" width="7.5703125" style="59" customWidth="1"/>
    <col min="11393" max="11412" width="0" style="59" hidden="1" customWidth="1"/>
    <col min="11413" max="11413" width="7.5703125" style="59" customWidth="1"/>
    <col min="11414" max="11432" width="0" style="59" hidden="1" customWidth="1"/>
    <col min="11433" max="11433" width="8.28515625" style="59" customWidth="1"/>
    <col min="11434" max="11444" width="0" style="59" hidden="1" customWidth="1"/>
    <col min="11445" max="11447" width="8.140625" style="59" customWidth="1"/>
    <col min="11448" max="11448" width="7.42578125" style="59" customWidth="1"/>
    <col min="11449" max="11449" width="5.7109375" style="59" customWidth="1"/>
    <col min="11450" max="11450" width="6.42578125" style="59" customWidth="1"/>
    <col min="11451" max="11451" width="5.7109375" style="59" customWidth="1"/>
    <col min="11452" max="11452" width="5.42578125" style="59" customWidth="1"/>
    <col min="11453" max="11453" width="5.28515625" style="59" customWidth="1"/>
    <col min="11454" max="11454" width="5.42578125" style="59" customWidth="1"/>
    <col min="11455" max="11455" width="5.28515625" style="59" customWidth="1"/>
    <col min="11456" max="11456" width="5.85546875" style="59" customWidth="1"/>
    <col min="11457" max="11457" width="6.140625" style="59" customWidth="1"/>
    <col min="11458" max="11597" width="9.140625" style="59"/>
    <col min="11598" max="11598" width="18.5703125" style="59" customWidth="1"/>
    <col min="11599" max="11599" width="3.5703125" style="59" customWidth="1"/>
    <col min="11600" max="11600" width="3" style="59" customWidth="1"/>
    <col min="11601" max="11601" width="8.140625" style="59" customWidth="1"/>
    <col min="11602" max="11607" width="0" style="59" hidden="1" customWidth="1"/>
    <col min="11608" max="11608" width="7.5703125" style="59" customWidth="1"/>
    <col min="11609" max="11629" width="0" style="59" hidden="1" customWidth="1"/>
    <col min="11630" max="11630" width="7.85546875" style="59" customWidth="1"/>
    <col min="11631" max="11647" width="0" style="59" hidden="1" customWidth="1"/>
    <col min="11648" max="11648" width="7.5703125" style="59" customWidth="1"/>
    <col min="11649" max="11668" width="0" style="59" hidden="1" customWidth="1"/>
    <col min="11669" max="11669" width="7.5703125" style="59" customWidth="1"/>
    <col min="11670" max="11688" width="0" style="59" hidden="1" customWidth="1"/>
    <col min="11689" max="11689" width="8.28515625" style="59" customWidth="1"/>
    <col min="11690" max="11700" width="0" style="59" hidden="1" customWidth="1"/>
    <col min="11701" max="11703" width="8.140625" style="59" customWidth="1"/>
    <col min="11704" max="11704" width="7.42578125" style="59" customWidth="1"/>
    <col min="11705" max="11705" width="5.7109375" style="59" customWidth="1"/>
    <col min="11706" max="11706" width="6.42578125" style="59" customWidth="1"/>
    <col min="11707" max="11707" width="5.7109375" style="59" customWidth="1"/>
    <col min="11708" max="11708" width="5.42578125" style="59" customWidth="1"/>
    <col min="11709" max="11709" width="5.28515625" style="59" customWidth="1"/>
    <col min="11710" max="11710" width="5.42578125" style="59" customWidth="1"/>
    <col min="11711" max="11711" width="5.28515625" style="59" customWidth="1"/>
    <col min="11712" max="11712" width="5.85546875" style="59" customWidth="1"/>
    <col min="11713" max="11713" width="6.140625" style="59" customWidth="1"/>
    <col min="11714" max="11853" width="9.140625" style="59"/>
    <col min="11854" max="11854" width="18.5703125" style="59" customWidth="1"/>
    <col min="11855" max="11855" width="3.5703125" style="59" customWidth="1"/>
    <col min="11856" max="11856" width="3" style="59" customWidth="1"/>
    <col min="11857" max="11857" width="8.140625" style="59" customWidth="1"/>
    <col min="11858" max="11863" width="0" style="59" hidden="1" customWidth="1"/>
    <col min="11864" max="11864" width="7.5703125" style="59" customWidth="1"/>
    <col min="11865" max="11885" width="0" style="59" hidden="1" customWidth="1"/>
    <col min="11886" max="11886" width="7.85546875" style="59" customWidth="1"/>
    <col min="11887" max="11903" width="0" style="59" hidden="1" customWidth="1"/>
    <col min="11904" max="11904" width="7.5703125" style="59" customWidth="1"/>
    <col min="11905" max="11924" width="0" style="59" hidden="1" customWidth="1"/>
    <col min="11925" max="11925" width="7.5703125" style="59" customWidth="1"/>
    <col min="11926" max="11944" width="0" style="59" hidden="1" customWidth="1"/>
    <col min="11945" max="11945" width="8.28515625" style="59" customWidth="1"/>
    <col min="11946" max="11956" width="0" style="59" hidden="1" customWidth="1"/>
    <col min="11957" max="11959" width="8.140625" style="59" customWidth="1"/>
    <col min="11960" max="11960" width="7.42578125" style="59" customWidth="1"/>
    <col min="11961" max="11961" width="5.7109375" style="59" customWidth="1"/>
    <col min="11962" max="11962" width="6.42578125" style="59" customWidth="1"/>
    <col min="11963" max="11963" width="5.7109375" style="59" customWidth="1"/>
    <col min="11964" max="11964" width="5.42578125" style="59" customWidth="1"/>
    <col min="11965" max="11965" width="5.28515625" style="59" customWidth="1"/>
    <col min="11966" max="11966" width="5.42578125" style="59" customWidth="1"/>
    <col min="11967" max="11967" width="5.28515625" style="59" customWidth="1"/>
    <col min="11968" max="11968" width="5.85546875" style="59" customWidth="1"/>
    <col min="11969" max="11969" width="6.140625" style="59" customWidth="1"/>
    <col min="11970" max="12109" width="9.140625" style="59"/>
    <col min="12110" max="12110" width="18.5703125" style="59" customWidth="1"/>
    <col min="12111" max="12111" width="3.5703125" style="59" customWidth="1"/>
    <col min="12112" max="12112" width="3" style="59" customWidth="1"/>
    <col min="12113" max="12113" width="8.140625" style="59" customWidth="1"/>
    <col min="12114" max="12119" width="0" style="59" hidden="1" customWidth="1"/>
    <col min="12120" max="12120" width="7.5703125" style="59" customWidth="1"/>
    <col min="12121" max="12141" width="0" style="59" hidden="1" customWidth="1"/>
    <col min="12142" max="12142" width="7.85546875" style="59" customWidth="1"/>
    <col min="12143" max="12159" width="0" style="59" hidden="1" customWidth="1"/>
    <col min="12160" max="12160" width="7.5703125" style="59" customWidth="1"/>
    <col min="12161" max="12180" width="0" style="59" hidden="1" customWidth="1"/>
    <col min="12181" max="12181" width="7.5703125" style="59" customWidth="1"/>
    <col min="12182" max="12200" width="0" style="59" hidden="1" customWidth="1"/>
    <col min="12201" max="12201" width="8.28515625" style="59" customWidth="1"/>
    <col min="12202" max="12212" width="0" style="59" hidden="1" customWidth="1"/>
    <col min="12213" max="12215" width="8.140625" style="59" customWidth="1"/>
    <col min="12216" max="12216" width="7.42578125" style="59" customWidth="1"/>
    <col min="12217" max="12217" width="5.7109375" style="59" customWidth="1"/>
    <col min="12218" max="12218" width="6.42578125" style="59" customWidth="1"/>
    <col min="12219" max="12219" width="5.7109375" style="59" customWidth="1"/>
    <col min="12220" max="12220" width="5.42578125" style="59" customWidth="1"/>
    <col min="12221" max="12221" width="5.28515625" style="59" customWidth="1"/>
    <col min="12222" max="12222" width="5.42578125" style="59" customWidth="1"/>
    <col min="12223" max="12223" width="5.28515625" style="59" customWidth="1"/>
    <col min="12224" max="12224" width="5.85546875" style="59" customWidth="1"/>
    <col min="12225" max="12225" width="6.140625" style="59" customWidth="1"/>
    <col min="12226" max="12365" width="9.140625" style="59"/>
    <col min="12366" max="12366" width="18.5703125" style="59" customWidth="1"/>
    <col min="12367" max="12367" width="3.5703125" style="59" customWidth="1"/>
    <col min="12368" max="12368" width="3" style="59" customWidth="1"/>
    <col min="12369" max="12369" width="8.140625" style="59" customWidth="1"/>
    <col min="12370" max="12375" width="0" style="59" hidden="1" customWidth="1"/>
    <col min="12376" max="12376" width="7.5703125" style="59" customWidth="1"/>
    <col min="12377" max="12397" width="0" style="59" hidden="1" customWidth="1"/>
    <col min="12398" max="12398" width="7.85546875" style="59" customWidth="1"/>
    <col min="12399" max="12415" width="0" style="59" hidden="1" customWidth="1"/>
    <col min="12416" max="12416" width="7.5703125" style="59" customWidth="1"/>
    <col min="12417" max="12436" width="0" style="59" hidden="1" customWidth="1"/>
    <col min="12437" max="12437" width="7.5703125" style="59" customWidth="1"/>
    <col min="12438" max="12456" width="0" style="59" hidden="1" customWidth="1"/>
    <col min="12457" max="12457" width="8.28515625" style="59" customWidth="1"/>
    <col min="12458" max="12468" width="0" style="59" hidden="1" customWidth="1"/>
    <col min="12469" max="12471" width="8.140625" style="59" customWidth="1"/>
    <col min="12472" max="12472" width="7.42578125" style="59" customWidth="1"/>
    <col min="12473" max="12473" width="5.7109375" style="59" customWidth="1"/>
    <col min="12474" max="12474" width="6.42578125" style="59" customWidth="1"/>
    <col min="12475" max="12475" width="5.7109375" style="59" customWidth="1"/>
    <col min="12476" max="12476" width="5.42578125" style="59" customWidth="1"/>
    <col min="12477" max="12477" width="5.28515625" style="59" customWidth="1"/>
    <col min="12478" max="12478" width="5.42578125" style="59" customWidth="1"/>
    <col min="12479" max="12479" width="5.28515625" style="59" customWidth="1"/>
    <col min="12480" max="12480" width="5.85546875" style="59" customWidth="1"/>
    <col min="12481" max="12481" width="6.140625" style="59" customWidth="1"/>
    <col min="12482" max="12621" width="9.140625" style="59"/>
    <col min="12622" max="12622" width="18.5703125" style="59" customWidth="1"/>
    <col min="12623" max="12623" width="3.5703125" style="59" customWidth="1"/>
    <col min="12624" max="12624" width="3" style="59" customWidth="1"/>
    <col min="12625" max="12625" width="8.140625" style="59" customWidth="1"/>
    <col min="12626" max="12631" width="0" style="59" hidden="1" customWidth="1"/>
    <col min="12632" max="12632" width="7.5703125" style="59" customWidth="1"/>
    <col min="12633" max="12653" width="0" style="59" hidden="1" customWidth="1"/>
    <col min="12654" max="12654" width="7.85546875" style="59" customWidth="1"/>
    <col min="12655" max="12671" width="0" style="59" hidden="1" customWidth="1"/>
    <col min="12672" max="12672" width="7.5703125" style="59" customWidth="1"/>
    <col min="12673" max="12692" width="0" style="59" hidden="1" customWidth="1"/>
    <col min="12693" max="12693" width="7.5703125" style="59" customWidth="1"/>
    <col min="12694" max="12712" width="0" style="59" hidden="1" customWidth="1"/>
    <col min="12713" max="12713" width="8.28515625" style="59" customWidth="1"/>
    <col min="12714" max="12724" width="0" style="59" hidden="1" customWidth="1"/>
    <col min="12725" max="12727" width="8.140625" style="59" customWidth="1"/>
    <col min="12728" max="12728" width="7.42578125" style="59" customWidth="1"/>
    <col min="12729" max="12729" width="5.7109375" style="59" customWidth="1"/>
    <col min="12730" max="12730" width="6.42578125" style="59" customWidth="1"/>
    <col min="12731" max="12731" width="5.7109375" style="59" customWidth="1"/>
    <col min="12732" max="12732" width="5.42578125" style="59" customWidth="1"/>
    <col min="12733" max="12733" width="5.28515625" style="59" customWidth="1"/>
    <col min="12734" max="12734" width="5.42578125" style="59" customWidth="1"/>
    <col min="12735" max="12735" width="5.28515625" style="59" customWidth="1"/>
    <col min="12736" max="12736" width="5.85546875" style="59" customWidth="1"/>
    <col min="12737" max="12737" width="6.140625" style="59" customWidth="1"/>
    <col min="12738" max="12877" width="9.140625" style="59"/>
    <col min="12878" max="12878" width="18.5703125" style="59" customWidth="1"/>
    <col min="12879" max="12879" width="3.5703125" style="59" customWidth="1"/>
    <col min="12880" max="12880" width="3" style="59" customWidth="1"/>
    <col min="12881" max="12881" width="8.140625" style="59" customWidth="1"/>
    <col min="12882" max="12887" width="0" style="59" hidden="1" customWidth="1"/>
    <col min="12888" max="12888" width="7.5703125" style="59" customWidth="1"/>
    <col min="12889" max="12909" width="0" style="59" hidden="1" customWidth="1"/>
    <col min="12910" max="12910" width="7.85546875" style="59" customWidth="1"/>
    <col min="12911" max="12927" width="0" style="59" hidden="1" customWidth="1"/>
    <col min="12928" max="12928" width="7.5703125" style="59" customWidth="1"/>
    <col min="12929" max="12948" width="0" style="59" hidden="1" customWidth="1"/>
    <col min="12949" max="12949" width="7.5703125" style="59" customWidth="1"/>
    <col min="12950" max="12968" width="0" style="59" hidden="1" customWidth="1"/>
    <col min="12969" max="12969" width="8.28515625" style="59" customWidth="1"/>
    <col min="12970" max="12980" width="0" style="59" hidden="1" customWidth="1"/>
    <col min="12981" max="12983" width="8.140625" style="59" customWidth="1"/>
    <col min="12984" max="12984" width="7.42578125" style="59" customWidth="1"/>
    <col min="12985" max="12985" width="5.7109375" style="59" customWidth="1"/>
    <col min="12986" max="12986" width="6.42578125" style="59" customWidth="1"/>
    <col min="12987" max="12987" width="5.7109375" style="59" customWidth="1"/>
    <col min="12988" max="12988" width="5.42578125" style="59" customWidth="1"/>
    <col min="12989" max="12989" width="5.28515625" style="59" customWidth="1"/>
    <col min="12990" max="12990" width="5.42578125" style="59" customWidth="1"/>
    <col min="12991" max="12991" width="5.28515625" style="59" customWidth="1"/>
    <col min="12992" max="12992" width="5.85546875" style="59" customWidth="1"/>
    <col min="12993" max="12993" width="6.140625" style="59" customWidth="1"/>
    <col min="12994" max="13133" width="9.140625" style="59"/>
    <col min="13134" max="13134" width="18.5703125" style="59" customWidth="1"/>
    <col min="13135" max="13135" width="3.5703125" style="59" customWidth="1"/>
    <col min="13136" max="13136" width="3" style="59" customWidth="1"/>
    <col min="13137" max="13137" width="8.140625" style="59" customWidth="1"/>
    <col min="13138" max="13143" width="0" style="59" hidden="1" customWidth="1"/>
    <col min="13144" max="13144" width="7.5703125" style="59" customWidth="1"/>
    <col min="13145" max="13165" width="0" style="59" hidden="1" customWidth="1"/>
    <col min="13166" max="13166" width="7.85546875" style="59" customWidth="1"/>
    <col min="13167" max="13183" width="0" style="59" hidden="1" customWidth="1"/>
    <col min="13184" max="13184" width="7.5703125" style="59" customWidth="1"/>
    <col min="13185" max="13204" width="0" style="59" hidden="1" customWidth="1"/>
    <col min="13205" max="13205" width="7.5703125" style="59" customWidth="1"/>
    <col min="13206" max="13224" width="0" style="59" hidden="1" customWidth="1"/>
    <col min="13225" max="13225" width="8.28515625" style="59" customWidth="1"/>
    <col min="13226" max="13236" width="0" style="59" hidden="1" customWidth="1"/>
    <col min="13237" max="13239" width="8.140625" style="59" customWidth="1"/>
    <col min="13240" max="13240" width="7.42578125" style="59" customWidth="1"/>
    <col min="13241" max="13241" width="5.7109375" style="59" customWidth="1"/>
    <col min="13242" max="13242" width="6.42578125" style="59" customWidth="1"/>
    <col min="13243" max="13243" width="5.7109375" style="59" customWidth="1"/>
    <col min="13244" max="13244" width="5.42578125" style="59" customWidth="1"/>
    <col min="13245" max="13245" width="5.28515625" style="59" customWidth="1"/>
    <col min="13246" max="13246" width="5.42578125" style="59" customWidth="1"/>
    <col min="13247" max="13247" width="5.28515625" style="59" customWidth="1"/>
    <col min="13248" max="13248" width="5.85546875" style="59" customWidth="1"/>
    <col min="13249" max="13249" width="6.140625" style="59" customWidth="1"/>
    <col min="13250" max="13389" width="9.140625" style="59"/>
    <col min="13390" max="13390" width="18.5703125" style="59" customWidth="1"/>
    <col min="13391" max="13391" width="3.5703125" style="59" customWidth="1"/>
    <col min="13392" max="13392" width="3" style="59" customWidth="1"/>
    <col min="13393" max="13393" width="8.140625" style="59" customWidth="1"/>
    <col min="13394" max="13399" width="0" style="59" hidden="1" customWidth="1"/>
    <col min="13400" max="13400" width="7.5703125" style="59" customWidth="1"/>
    <col min="13401" max="13421" width="0" style="59" hidden="1" customWidth="1"/>
    <col min="13422" max="13422" width="7.85546875" style="59" customWidth="1"/>
    <col min="13423" max="13439" width="0" style="59" hidden="1" customWidth="1"/>
    <col min="13440" max="13440" width="7.5703125" style="59" customWidth="1"/>
    <col min="13441" max="13460" width="0" style="59" hidden="1" customWidth="1"/>
    <col min="13461" max="13461" width="7.5703125" style="59" customWidth="1"/>
    <col min="13462" max="13480" width="0" style="59" hidden="1" customWidth="1"/>
    <col min="13481" max="13481" width="8.28515625" style="59" customWidth="1"/>
    <col min="13482" max="13492" width="0" style="59" hidden="1" customWidth="1"/>
    <col min="13493" max="13495" width="8.140625" style="59" customWidth="1"/>
    <col min="13496" max="13496" width="7.42578125" style="59" customWidth="1"/>
    <col min="13497" max="13497" width="5.7109375" style="59" customWidth="1"/>
    <col min="13498" max="13498" width="6.42578125" style="59" customWidth="1"/>
    <col min="13499" max="13499" width="5.7109375" style="59" customWidth="1"/>
    <col min="13500" max="13500" width="5.42578125" style="59" customWidth="1"/>
    <col min="13501" max="13501" width="5.28515625" style="59" customWidth="1"/>
    <col min="13502" max="13502" width="5.42578125" style="59" customWidth="1"/>
    <col min="13503" max="13503" width="5.28515625" style="59" customWidth="1"/>
    <col min="13504" max="13504" width="5.85546875" style="59" customWidth="1"/>
    <col min="13505" max="13505" width="6.140625" style="59" customWidth="1"/>
    <col min="13506" max="13645" width="9.140625" style="59"/>
    <col min="13646" max="13646" width="18.5703125" style="59" customWidth="1"/>
    <col min="13647" max="13647" width="3.5703125" style="59" customWidth="1"/>
    <col min="13648" max="13648" width="3" style="59" customWidth="1"/>
    <col min="13649" max="13649" width="8.140625" style="59" customWidth="1"/>
    <col min="13650" max="13655" width="0" style="59" hidden="1" customWidth="1"/>
    <col min="13656" max="13656" width="7.5703125" style="59" customWidth="1"/>
    <col min="13657" max="13677" width="0" style="59" hidden="1" customWidth="1"/>
    <col min="13678" max="13678" width="7.85546875" style="59" customWidth="1"/>
    <col min="13679" max="13695" width="0" style="59" hidden="1" customWidth="1"/>
    <col min="13696" max="13696" width="7.5703125" style="59" customWidth="1"/>
    <col min="13697" max="13716" width="0" style="59" hidden="1" customWidth="1"/>
    <col min="13717" max="13717" width="7.5703125" style="59" customWidth="1"/>
    <col min="13718" max="13736" width="0" style="59" hidden="1" customWidth="1"/>
    <col min="13737" max="13737" width="8.28515625" style="59" customWidth="1"/>
    <col min="13738" max="13748" width="0" style="59" hidden="1" customWidth="1"/>
    <col min="13749" max="13751" width="8.140625" style="59" customWidth="1"/>
    <col min="13752" max="13752" width="7.42578125" style="59" customWidth="1"/>
    <col min="13753" max="13753" width="5.7109375" style="59" customWidth="1"/>
    <col min="13754" max="13754" width="6.42578125" style="59" customWidth="1"/>
    <col min="13755" max="13755" width="5.7109375" style="59" customWidth="1"/>
    <col min="13756" max="13756" width="5.42578125" style="59" customWidth="1"/>
    <col min="13757" max="13757" width="5.28515625" style="59" customWidth="1"/>
    <col min="13758" max="13758" width="5.42578125" style="59" customWidth="1"/>
    <col min="13759" max="13759" width="5.28515625" style="59" customWidth="1"/>
    <col min="13760" max="13760" width="5.85546875" style="59" customWidth="1"/>
    <col min="13761" max="13761" width="6.140625" style="59" customWidth="1"/>
    <col min="13762" max="13901" width="9.140625" style="59"/>
    <col min="13902" max="13902" width="18.5703125" style="59" customWidth="1"/>
    <col min="13903" max="13903" width="3.5703125" style="59" customWidth="1"/>
    <col min="13904" max="13904" width="3" style="59" customWidth="1"/>
    <col min="13905" max="13905" width="8.140625" style="59" customWidth="1"/>
    <col min="13906" max="13911" width="0" style="59" hidden="1" customWidth="1"/>
    <col min="13912" max="13912" width="7.5703125" style="59" customWidth="1"/>
    <col min="13913" max="13933" width="0" style="59" hidden="1" customWidth="1"/>
    <col min="13934" max="13934" width="7.85546875" style="59" customWidth="1"/>
    <col min="13935" max="13951" width="0" style="59" hidden="1" customWidth="1"/>
    <col min="13952" max="13952" width="7.5703125" style="59" customWidth="1"/>
    <col min="13953" max="13972" width="0" style="59" hidden="1" customWidth="1"/>
    <col min="13973" max="13973" width="7.5703125" style="59" customWidth="1"/>
    <col min="13974" max="13992" width="0" style="59" hidden="1" customWidth="1"/>
    <col min="13993" max="13993" width="8.28515625" style="59" customWidth="1"/>
    <col min="13994" max="14004" width="0" style="59" hidden="1" customWidth="1"/>
    <col min="14005" max="14007" width="8.140625" style="59" customWidth="1"/>
    <col min="14008" max="14008" width="7.42578125" style="59" customWidth="1"/>
    <col min="14009" max="14009" width="5.7109375" style="59" customWidth="1"/>
    <col min="14010" max="14010" width="6.42578125" style="59" customWidth="1"/>
    <col min="14011" max="14011" width="5.7109375" style="59" customWidth="1"/>
    <col min="14012" max="14012" width="5.42578125" style="59" customWidth="1"/>
    <col min="14013" max="14013" width="5.28515625" style="59" customWidth="1"/>
    <col min="14014" max="14014" width="5.42578125" style="59" customWidth="1"/>
    <col min="14015" max="14015" width="5.28515625" style="59" customWidth="1"/>
    <col min="14016" max="14016" width="5.85546875" style="59" customWidth="1"/>
    <col min="14017" max="14017" width="6.140625" style="59" customWidth="1"/>
    <col min="14018" max="14157" width="9.140625" style="59"/>
    <col min="14158" max="14158" width="18.5703125" style="59" customWidth="1"/>
    <col min="14159" max="14159" width="3.5703125" style="59" customWidth="1"/>
    <col min="14160" max="14160" width="3" style="59" customWidth="1"/>
    <col min="14161" max="14161" width="8.140625" style="59" customWidth="1"/>
    <col min="14162" max="14167" width="0" style="59" hidden="1" customWidth="1"/>
    <col min="14168" max="14168" width="7.5703125" style="59" customWidth="1"/>
    <col min="14169" max="14189" width="0" style="59" hidden="1" customWidth="1"/>
    <col min="14190" max="14190" width="7.85546875" style="59" customWidth="1"/>
    <col min="14191" max="14207" width="0" style="59" hidden="1" customWidth="1"/>
    <col min="14208" max="14208" width="7.5703125" style="59" customWidth="1"/>
    <col min="14209" max="14228" width="0" style="59" hidden="1" customWidth="1"/>
    <col min="14229" max="14229" width="7.5703125" style="59" customWidth="1"/>
    <col min="14230" max="14248" width="0" style="59" hidden="1" customWidth="1"/>
    <col min="14249" max="14249" width="8.28515625" style="59" customWidth="1"/>
    <col min="14250" max="14260" width="0" style="59" hidden="1" customWidth="1"/>
    <col min="14261" max="14263" width="8.140625" style="59" customWidth="1"/>
    <col min="14264" max="14264" width="7.42578125" style="59" customWidth="1"/>
    <col min="14265" max="14265" width="5.7109375" style="59" customWidth="1"/>
    <col min="14266" max="14266" width="6.42578125" style="59" customWidth="1"/>
    <col min="14267" max="14267" width="5.7109375" style="59" customWidth="1"/>
    <col min="14268" max="14268" width="5.42578125" style="59" customWidth="1"/>
    <col min="14269" max="14269" width="5.28515625" style="59" customWidth="1"/>
    <col min="14270" max="14270" width="5.42578125" style="59" customWidth="1"/>
    <col min="14271" max="14271" width="5.28515625" style="59" customWidth="1"/>
    <col min="14272" max="14272" width="5.85546875" style="59" customWidth="1"/>
    <col min="14273" max="14273" width="6.140625" style="59" customWidth="1"/>
    <col min="14274" max="14413" width="9.140625" style="59"/>
    <col min="14414" max="14414" width="18.5703125" style="59" customWidth="1"/>
    <col min="14415" max="14415" width="3.5703125" style="59" customWidth="1"/>
    <col min="14416" max="14416" width="3" style="59" customWidth="1"/>
    <col min="14417" max="14417" width="8.140625" style="59" customWidth="1"/>
    <col min="14418" max="14423" width="0" style="59" hidden="1" customWidth="1"/>
    <col min="14424" max="14424" width="7.5703125" style="59" customWidth="1"/>
    <col min="14425" max="14445" width="0" style="59" hidden="1" customWidth="1"/>
    <col min="14446" max="14446" width="7.85546875" style="59" customWidth="1"/>
    <col min="14447" max="14463" width="0" style="59" hidden="1" customWidth="1"/>
    <col min="14464" max="14464" width="7.5703125" style="59" customWidth="1"/>
    <col min="14465" max="14484" width="0" style="59" hidden="1" customWidth="1"/>
    <col min="14485" max="14485" width="7.5703125" style="59" customWidth="1"/>
    <col min="14486" max="14504" width="0" style="59" hidden="1" customWidth="1"/>
    <col min="14505" max="14505" width="8.28515625" style="59" customWidth="1"/>
    <col min="14506" max="14516" width="0" style="59" hidden="1" customWidth="1"/>
    <col min="14517" max="14519" width="8.140625" style="59" customWidth="1"/>
    <col min="14520" max="14520" width="7.42578125" style="59" customWidth="1"/>
    <col min="14521" max="14521" width="5.7109375" style="59" customWidth="1"/>
    <col min="14522" max="14522" width="6.42578125" style="59" customWidth="1"/>
    <col min="14523" max="14523" width="5.7109375" style="59" customWidth="1"/>
    <col min="14524" max="14524" width="5.42578125" style="59" customWidth="1"/>
    <col min="14525" max="14525" width="5.28515625" style="59" customWidth="1"/>
    <col min="14526" max="14526" width="5.42578125" style="59" customWidth="1"/>
    <col min="14527" max="14527" width="5.28515625" style="59" customWidth="1"/>
    <col min="14528" max="14528" width="5.85546875" style="59" customWidth="1"/>
    <col min="14529" max="14529" width="6.140625" style="59" customWidth="1"/>
    <col min="14530" max="14669" width="9.140625" style="59"/>
    <col min="14670" max="14670" width="18.5703125" style="59" customWidth="1"/>
    <col min="14671" max="14671" width="3.5703125" style="59" customWidth="1"/>
    <col min="14672" max="14672" width="3" style="59" customWidth="1"/>
    <col min="14673" max="14673" width="8.140625" style="59" customWidth="1"/>
    <col min="14674" max="14679" width="0" style="59" hidden="1" customWidth="1"/>
    <col min="14680" max="14680" width="7.5703125" style="59" customWidth="1"/>
    <col min="14681" max="14701" width="0" style="59" hidden="1" customWidth="1"/>
    <col min="14702" max="14702" width="7.85546875" style="59" customWidth="1"/>
    <col min="14703" max="14719" width="0" style="59" hidden="1" customWidth="1"/>
    <col min="14720" max="14720" width="7.5703125" style="59" customWidth="1"/>
    <col min="14721" max="14740" width="0" style="59" hidden="1" customWidth="1"/>
    <col min="14741" max="14741" width="7.5703125" style="59" customWidth="1"/>
    <col min="14742" max="14760" width="0" style="59" hidden="1" customWidth="1"/>
    <col min="14761" max="14761" width="8.28515625" style="59" customWidth="1"/>
    <col min="14762" max="14772" width="0" style="59" hidden="1" customWidth="1"/>
    <col min="14773" max="14775" width="8.140625" style="59" customWidth="1"/>
    <col min="14776" max="14776" width="7.42578125" style="59" customWidth="1"/>
    <col min="14777" max="14777" width="5.7109375" style="59" customWidth="1"/>
    <col min="14778" max="14778" width="6.42578125" style="59" customWidth="1"/>
    <col min="14779" max="14779" width="5.7109375" style="59" customWidth="1"/>
    <col min="14780" max="14780" width="5.42578125" style="59" customWidth="1"/>
    <col min="14781" max="14781" width="5.28515625" style="59" customWidth="1"/>
    <col min="14782" max="14782" width="5.42578125" style="59" customWidth="1"/>
    <col min="14783" max="14783" width="5.28515625" style="59" customWidth="1"/>
    <col min="14784" max="14784" width="5.85546875" style="59" customWidth="1"/>
    <col min="14785" max="14785" width="6.140625" style="59" customWidth="1"/>
    <col min="14786" max="14925" width="9.140625" style="59"/>
    <col min="14926" max="14926" width="18.5703125" style="59" customWidth="1"/>
    <col min="14927" max="14927" width="3.5703125" style="59" customWidth="1"/>
    <col min="14928" max="14928" width="3" style="59" customWidth="1"/>
    <col min="14929" max="14929" width="8.140625" style="59" customWidth="1"/>
    <col min="14930" max="14935" width="0" style="59" hidden="1" customWidth="1"/>
    <col min="14936" max="14936" width="7.5703125" style="59" customWidth="1"/>
    <col min="14937" max="14957" width="0" style="59" hidden="1" customWidth="1"/>
    <col min="14958" max="14958" width="7.85546875" style="59" customWidth="1"/>
    <col min="14959" max="14975" width="0" style="59" hidden="1" customWidth="1"/>
    <col min="14976" max="14976" width="7.5703125" style="59" customWidth="1"/>
    <col min="14977" max="14996" width="0" style="59" hidden="1" customWidth="1"/>
    <col min="14997" max="14997" width="7.5703125" style="59" customWidth="1"/>
    <col min="14998" max="15016" width="0" style="59" hidden="1" customWidth="1"/>
    <col min="15017" max="15017" width="8.28515625" style="59" customWidth="1"/>
    <col min="15018" max="15028" width="0" style="59" hidden="1" customWidth="1"/>
    <col min="15029" max="15031" width="8.140625" style="59" customWidth="1"/>
    <col min="15032" max="15032" width="7.42578125" style="59" customWidth="1"/>
    <col min="15033" max="15033" width="5.7109375" style="59" customWidth="1"/>
    <col min="15034" max="15034" width="6.42578125" style="59" customWidth="1"/>
    <col min="15035" max="15035" width="5.7109375" style="59" customWidth="1"/>
    <col min="15036" max="15036" width="5.42578125" style="59" customWidth="1"/>
    <col min="15037" max="15037" width="5.28515625" style="59" customWidth="1"/>
    <col min="15038" max="15038" width="5.42578125" style="59" customWidth="1"/>
    <col min="15039" max="15039" width="5.28515625" style="59" customWidth="1"/>
    <col min="15040" max="15040" width="5.85546875" style="59" customWidth="1"/>
    <col min="15041" max="15041" width="6.140625" style="59" customWidth="1"/>
    <col min="15042" max="15181" width="9.140625" style="59"/>
    <col min="15182" max="15182" width="18.5703125" style="59" customWidth="1"/>
    <col min="15183" max="15183" width="3.5703125" style="59" customWidth="1"/>
    <col min="15184" max="15184" width="3" style="59" customWidth="1"/>
    <col min="15185" max="15185" width="8.140625" style="59" customWidth="1"/>
    <col min="15186" max="15191" width="0" style="59" hidden="1" customWidth="1"/>
    <col min="15192" max="15192" width="7.5703125" style="59" customWidth="1"/>
    <col min="15193" max="15213" width="0" style="59" hidden="1" customWidth="1"/>
    <col min="15214" max="15214" width="7.85546875" style="59" customWidth="1"/>
    <col min="15215" max="15231" width="0" style="59" hidden="1" customWidth="1"/>
    <col min="15232" max="15232" width="7.5703125" style="59" customWidth="1"/>
    <col min="15233" max="15252" width="0" style="59" hidden="1" customWidth="1"/>
    <col min="15253" max="15253" width="7.5703125" style="59" customWidth="1"/>
    <col min="15254" max="15272" width="0" style="59" hidden="1" customWidth="1"/>
    <col min="15273" max="15273" width="8.28515625" style="59" customWidth="1"/>
    <col min="15274" max="15284" width="0" style="59" hidden="1" customWidth="1"/>
    <col min="15285" max="15287" width="8.140625" style="59" customWidth="1"/>
    <col min="15288" max="15288" width="7.42578125" style="59" customWidth="1"/>
    <col min="15289" max="15289" width="5.7109375" style="59" customWidth="1"/>
    <col min="15290" max="15290" width="6.42578125" style="59" customWidth="1"/>
    <col min="15291" max="15291" width="5.7109375" style="59" customWidth="1"/>
    <col min="15292" max="15292" width="5.42578125" style="59" customWidth="1"/>
    <col min="15293" max="15293" width="5.28515625" style="59" customWidth="1"/>
    <col min="15294" max="15294" width="5.42578125" style="59" customWidth="1"/>
    <col min="15295" max="15295" width="5.28515625" style="59" customWidth="1"/>
    <col min="15296" max="15296" width="5.85546875" style="59" customWidth="1"/>
    <col min="15297" max="15297" width="6.140625" style="59" customWidth="1"/>
    <col min="15298" max="15437" width="9.140625" style="59"/>
    <col min="15438" max="15438" width="18.5703125" style="59" customWidth="1"/>
    <col min="15439" max="15439" width="3.5703125" style="59" customWidth="1"/>
    <col min="15440" max="15440" width="3" style="59" customWidth="1"/>
    <col min="15441" max="15441" width="8.140625" style="59" customWidth="1"/>
    <col min="15442" max="15447" width="0" style="59" hidden="1" customWidth="1"/>
    <col min="15448" max="15448" width="7.5703125" style="59" customWidth="1"/>
    <col min="15449" max="15469" width="0" style="59" hidden="1" customWidth="1"/>
    <col min="15470" max="15470" width="7.85546875" style="59" customWidth="1"/>
    <col min="15471" max="15487" width="0" style="59" hidden="1" customWidth="1"/>
    <col min="15488" max="15488" width="7.5703125" style="59" customWidth="1"/>
    <col min="15489" max="15508" width="0" style="59" hidden="1" customWidth="1"/>
    <col min="15509" max="15509" width="7.5703125" style="59" customWidth="1"/>
    <col min="15510" max="15528" width="0" style="59" hidden="1" customWidth="1"/>
    <col min="15529" max="15529" width="8.28515625" style="59" customWidth="1"/>
    <col min="15530" max="15540" width="0" style="59" hidden="1" customWidth="1"/>
    <col min="15541" max="15543" width="8.140625" style="59" customWidth="1"/>
    <col min="15544" max="15544" width="7.42578125" style="59" customWidth="1"/>
    <col min="15545" max="15545" width="5.7109375" style="59" customWidth="1"/>
    <col min="15546" max="15546" width="6.42578125" style="59" customWidth="1"/>
    <col min="15547" max="15547" width="5.7109375" style="59" customWidth="1"/>
    <col min="15548" max="15548" width="5.42578125" style="59" customWidth="1"/>
    <col min="15549" max="15549" width="5.28515625" style="59" customWidth="1"/>
    <col min="15550" max="15550" width="5.42578125" style="59" customWidth="1"/>
    <col min="15551" max="15551" width="5.28515625" style="59" customWidth="1"/>
    <col min="15552" max="15552" width="5.85546875" style="59" customWidth="1"/>
    <col min="15553" max="15553" width="6.140625" style="59" customWidth="1"/>
    <col min="15554" max="15693" width="9.140625" style="59"/>
    <col min="15694" max="15694" width="18.5703125" style="59" customWidth="1"/>
    <col min="15695" max="15695" width="3.5703125" style="59" customWidth="1"/>
    <col min="15696" max="15696" width="3" style="59" customWidth="1"/>
    <col min="15697" max="15697" width="8.140625" style="59" customWidth="1"/>
    <col min="15698" max="15703" width="0" style="59" hidden="1" customWidth="1"/>
    <col min="15704" max="15704" width="7.5703125" style="59" customWidth="1"/>
    <col min="15705" max="15725" width="0" style="59" hidden="1" customWidth="1"/>
    <col min="15726" max="15726" width="7.85546875" style="59" customWidth="1"/>
    <col min="15727" max="15743" width="0" style="59" hidden="1" customWidth="1"/>
    <col min="15744" max="15744" width="7.5703125" style="59" customWidth="1"/>
    <col min="15745" max="15764" width="0" style="59" hidden="1" customWidth="1"/>
    <col min="15765" max="15765" width="7.5703125" style="59" customWidth="1"/>
    <col min="15766" max="15784" width="0" style="59" hidden="1" customWidth="1"/>
    <col min="15785" max="15785" width="8.28515625" style="59" customWidth="1"/>
    <col min="15786" max="15796" width="0" style="59" hidden="1" customWidth="1"/>
    <col min="15797" max="15799" width="8.140625" style="59" customWidth="1"/>
    <col min="15800" max="15800" width="7.42578125" style="59" customWidth="1"/>
    <col min="15801" max="15801" width="5.7109375" style="59" customWidth="1"/>
    <col min="15802" max="15802" width="6.42578125" style="59" customWidth="1"/>
    <col min="15803" max="15803" width="5.7109375" style="59" customWidth="1"/>
    <col min="15804" max="15804" width="5.42578125" style="59" customWidth="1"/>
    <col min="15805" max="15805" width="5.28515625" style="59" customWidth="1"/>
    <col min="15806" max="15806" width="5.42578125" style="59" customWidth="1"/>
    <col min="15807" max="15807" width="5.28515625" style="59" customWidth="1"/>
    <col min="15808" max="15808" width="5.85546875" style="59" customWidth="1"/>
    <col min="15809" max="15809" width="6.140625" style="59" customWidth="1"/>
    <col min="15810" max="15949" width="9.140625" style="59"/>
    <col min="15950" max="15950" width="18.5703125" style="59" customWidth="1"/>
    <col min="15951" max="15951" width="3.5703125" style="59" customWidth="1"/>
    <col min="15952" max="15952" width="3" style="59" customWidth="1"/>
    <col min="15953" max="15953" width="8.140625" style="59" customWidth="1"/>
    <col min="15954" max="15959" width="0" style="59" hidden="1" customWidth="1"/>
    <col min="15960" max="15960" width="7.5703125" style="59" customWidth="1"/>
    <col min="15961" max="15981" width="0" style="59" hidden="1" customWidth="1"/>
    <col min="15982" max="15982" width="7.85546875" style="59" customWidth="1"/>
    <col min="15983" max="15999" width="0" style="59" hidden="1" customWidth="1"/>
    <col min="16000" max="16000" width="7.5703125" style="59" customWidth="1"/>
    <col min="16001" max="16020" width="0" style="59" hidden="1" customWidth="1"/>
    <col min="16021" max="16021" width="7.5703125" style="59" customWidth="1"/>
    <col min="16022" max="16040" width="0" style="59" hidden="1" customWidth="1"/>
    <col min="16041" max="16041" width="8.28515625" style="59" customWidth="1"/>
    <col min="16042" max="16052" width="0" style="59" hidden="1" customWidth="1"/>
    <col min="16053" max="16055" width="8.140625" style="59" customWidth="1"/>
    <col min="16056" max="16056" width="7.42578125" style="59" customWidth="1"/>
    <col min="16057" max="16057" width="5.7109375" style="59" customWidth="1"/>
    <col min="16058" max="16058" width="6.42578125" style="59" customWidth="1"/>
    <col min="16059" max="16059" width="5.7109375" style="59" customWidth="1"/>
    <col min="16060" max="16060" width="5.42578125" style="59" customWidth="1"/>
    <col min="16061" max="16061" width="5.28515625" style="59" customWidth="1"/>
    <col min="16062" max="16062" width="5.42578125" style="59" customWidth="1"/>
    <col min="16063" max="16063" width="5.28515625" style="59" customWidth="1"/>
    <col min="16064" max="16064" width="5.85546875" style="59" customWidth="1"/>
    <col min="16065" max="16065" width="6.140625" style="59" customWidth="1"/>
    <col min="16066" max="16384" width="9.140625" style="59"/>
  </cols>
  <sheetData>
    <row r="1" spans="1:34" ht="17.25" customHeight="1" x14ac:dyDescent="0.2">
      <c r="A1" s="57"/>
      <c r="B1" s="57"/>
      <c r="C1" s="57"/>
      <c r="D1" s="57"/>
      <c r="E1" s="58"/>
    </row>
    <row r="2" spans="1:34" ht="18.75" customHeight="1" x14ac:dyDescent="0.2">
      <c r="A2" s="65" t="s">
        <v>280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6"/>
      <c r="AF2" s="66"/>
      <c r="AG2" s="66"/>
      <c r="AH2" s="66"/>
    </row>
    <row r="3" spans="1:34" ht="24" customHeight="1" x14ac:dyDescent="0.2">
      <c r="A3" s="67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</row>
    <row r="4" spans="1:34" s="78" customFormat="1" ht="48" customHeight="1" x14ac:dyDescent="0.25">
      <c r="A4" s="68" t="s">
        <v>282</v>
      </c>
      <c r="B4" s="68" t="s">
        <v>283</v>
      </c>
      <c r="C4" s="68" t="s">
        <v>284</v>
      </c>
      <c r="D4" s="69" t="s">
        <v>285</v>
      </c>
      <c r="E4" s="70" t="s">
        <v>286</v>
      </c>
      <c r="F4" s="70" t="s">
        <v>287</v>
      </c>
      <c r="G4" s="70" t="s">
        <v>288</v>
      </c>
      <c r="H4" s="70" t="s">
        <v>289</v>
      </c>
      <c r="I4" s="70" t="s">
        <v>290</v>
      </c>
      <c r="J4" s="71" t="s">
        <v>291</v>
      </c>
      <c r="K4" s="71" t="s">
        <v>292</v>
      </c>
      <c r="L4" s="71" t="s">
        <v>293</v>
      </c>
      <c r="M4" s="72" t="s">
        <v>294</v>
      </c>
      <c r="N4" s="72" t="s">
        <v>295</v>
      </c>
      <c r="O4" s="73" t="s">
        <v>296</v>
      </c>
      <c r="P4" s="74" t="s">
        <v>297</v>
      </c>
      <c r="Q4" s="75" t="s">
        <v>298</v>
      </c>
      <c r="R4" s="75" t="s">
        <v>299</v>
      </c>
      <c r="S4" s="75" t="s">
        <v>300</v>
      </c>
      <c r="T4" s="75" t="s">
        <v>301</v>
      </c>
      <c r="U4" s="75" t="s">
        <v>302</v>
      </c>
      <c r="V4" s="75" t="s">
        <v>303</v>
      </c>
      <c r="W4" s="76" t="s">
        <v>304</v>
      </c>
      <c r="X4" s="76" t="s">
        <v>305</v>
      </c>
      <c r="Y4" s="76" t="s">
        <v>306</v>
      </c>
      <c r="Z4" s="76" t="s">
        <v>307</v>
      </c>
      <c r="AA4" s="76" t="s">
        <v>308</v>
      </c>
      <c r="AB4" s="76" t="s">
        <v>309</v>
      </c>
      <c r="AC4" s="76" t="s">
        <v>310</v>
      </c>
      <c r="AD4" s="76" t="s">
        <v>311</v>
      </c>
      <c r="AE4" s="75" t="s">
        <v>312</v>
      </c>
      <c r="AF4" s="77" t="s">
        <v>313</v>
      </c>
      <c r="AG4" s="77" t="s">
        <v>314</v>
      </c>
    </row>
    <row r="5" spans="1:34" s="83" customFormat="1" ht="29.25" customHeight="1" x14ac:dyDescent="0.15">
      <c r="A5" s="79" t="s">
        <v>315</v>
      </c>
      <c r="B5" s="80" t="s">
        <v>316</v>
      </c>
      <c r="C5" s="80"/>
      <c r="D5" s="80" t="s">
        <v>317</v>
      </c>
      <c r="E5" s="80" t="s">
        <v>318</v>
      </c>
      <c r="F5" s="80" t="s">
        <v>319</v>
      </c>
      <c r="G5" s="80" t="s">
        <v>320</v>
      </c>
      <c r="H5" s="81">
        <f>H6+H7+H9+H10+H11</f>
        <v>20717.100000000002</v>
      </c>
      <c r="I5" s="81">
        <f>I6+I7+I9+I10+I11</f>
        <v>20717.699999999997</v>
      </c>
      <c r="J5" s="81">
        <f>J6+J7+J9+J10+J11</f>
        <v>20301.7</v>
      </c>
      <c r="K5" s="81">
        <f>K6+K7+K9+K10+K11</f>
        <v>27987.5</v>
      </c>
      <c r="L5" s="81">
        <f t="shared" ref="L5:O5" si="0">L6+L7+L9+L10+L11</f>
        <v>25210.3</v>
      </c>
      <c r="M5" s="81">
        <f t="shared" si="0"/>
        <v>30634.2</v>
      </c>
      <c r="N5" s="81">
        <f t="shared" si="0"/>
        <v>30375.9</v>
      </c>
      <c r="O5" s="81">
        <f t="shared" si="0"/>
        <v>31437.599999999999</v>
      </c>
      <c r="P5" s="81">
        <f t="shared" ref="P5" si="1">P6+P7+P9+P10+P11+P8</f>
        <v>35339.399999999994</v>
      </c>
      <c r="Q5" s="81">
        <f>Q6+Q7+Q9+Q10+Q8+Q11</f>
        <v>32182.100000000002</v>
      </c>
      <c r="R5" s="81">
        <f t="shared" ref="R5:Z5" si="2">R6+R7+R9+R10+R8+R11</f>
        <v>33635.9</v>
      </c>
      <c r="S5" s="81">
        <f t="shared" si="2"/>
        <v>9286.9</v>
      </c>
      <c r="T5" s="81">
        <f t="shared" si="2"/>
        <v>33639.699999999997</v>
      </c>
      <c r="U5" s="81">
        <f t="shared" si="2"/>
        <v>33903.700000000004</v>
      </c>
      <c r="V5" s="81">
        <f t="shared" si="2"/>
        <v>24664.600000000002</v>
      </c>
      <c r="W5" s="81">
        <f t="shared" si="2"/>
        <v>33412.9</v>
      </c>
      <c r="X5" s="81">
        <f t="shared" si="2"/>
        <v>30198.1</v>
      </c>
      <c r="Y5" s="81">
        <f t="shared" si="2"/>
        <v>31839.700000000004</v>
      </c>
      <c r="Z5" s="81">
        <f t="shared" si="2"/>
        <v>33539.600000000006</v>
      </c>
      <c r="AA5" s="81">
        <f t="shared" ref="AA5:AA48" si="3">W5/$W$48*100</f>
        <v>28.63530055028825</v>
      </c>
      <c r="AB5" s="81">
        <f>X5/$X$48*100</f>
        <v>43.006944207084338</v>
      </c>
      <c r="AC5" s="81">
        <f>Y5/$Y$48*100</f>
        <v>46.39279506110239</v>
      </c>
      <c r="AD5" s="81">
        <f>Z5/$Z$48*100</f>
        <v>47.813715315397516</v>
      </c>
      <c r="AE5" s="81">
        <f t="shared" ref="AE5:AE29" si="4">S5/T5*100</f>
        <v>27.606964390288859</v>
      </c>
      <c r="AF5" s="82">
        <f>AF6+AF7+AF9+AF10+AF8+AF11</f>
        <v>32413.200000000001</v>
      </c>
      <c r="AG5" s="82">
        <f>AG6+AG7+AG9+AG10+AG8+AG11</f>
        <v>33844.400000000001</v>
      </c>
    </row>
    <row r="6" spans="1:34" ht="37.5" customHeight="1" x14ac:dyDescent="0.2">
      <c r="A6" s="84" t="s">
        <v>321</v>
      </c>
      <c r="B6" s="85" t="s">
        <v>316</v>
      </c>
      <c r="C6" s="85" t="s">
        <v>322</v>
      </c>
      <c r="D6" s="85" t="s">
        <v>323</v>
      </c>
      <c r="E6" s="86">
        <v>3822.9</v>
      </c>
      <c r="F6" s="87">
        <f>1296.842+299.744+1712.919+518.527</f>
        <v>3828.0320000000002</v>
      </c>
      <c r="G6" s="88">
        <v>5215</v>
      </c>
      <c r="H6" s="88">
        <v>5027</v>
      </c>
      <c r="I6" s="88">
        <v>5851.4</v>
      </c>
      <c r="J6" s="87">
        <v>5931.2</v>
      </c>
      <c r="K6" s="89">
        <v>7495.4</v>
      </c>
      <c r="L6" s="89">
        <v>6894.7</v>
      </c>
      <c r="M6" s="90">
        <v>6961.3</v>
      </c>
      <c r="N6" s="90">
        <v>7646.1</v>
      </c>
      <c r="O6" s="90">
        <v>8297.5</v>
      </c>
      <c r="P6" s="90">
        <v>9916.6</v>
      </c>
      <c r="Q6" s="90">
        <v>9128</v>
      </c>
      <c r="R6" s="90">
        <v>9128</v>
      </c>
      <c r="S6" s="90">
        <v>2872.2</v>
      </c>
      <c r="T6" s="90">
        <v>9231</v>
      </c>
      <c r="U6" s="90">
        <v>9313</v>
      </c>
      <c r="V6" s="90">
        <v>7561.8</v>
      </c>
      <c r="W6" s="90">
        <v>9313</v>
      </c>
      <c r="X6" s="90">
        <v>7476.1</v>
      </c>
      <c r="Y6" s="90">
        <v>7476.1</v>
      </c>
      <c r="Z6" s="90">
        <v>7476.1</v>
      </c>
      <c r="AA6" s="90">
        <f t="shared" si="3"/>
        <v>7.9813651022459737</v>
      </c>
      <c r="AB6" s="90">
        <f t="shared" ref="AB6:AB48" si="5">X6/$X$48*100</f>
        <v>10.647167059734992</v>
      </c>
      <c r="AC6" s="90">
        <f t="shared" ref="AC6:AC48" si="6">Y6/$Y$48*100</f>
        <v>10.89322999765411</v>
      </c>
      <c r="AD6" s="90">
        <f t="shared" ref="AD6:AD48" si="7">Z6/$Z$48*100</f>
        <v>10.65785271945531</v>
      </c>
      <c r="AE6" s="90">
        <f t="shared" si="4"/>
        <v>31.114722131946699</v>
      </c>
      <c r="AF6" s="91">
        <v>9128</v>
      </c>
      <c r="AG6" s="91">
        <v>9128</v>
      </c>
    </row>
    <row r="7" spans="1:34" ht="29.25" customHeight="1" x14ac:dyDescent="0.2">
      <c r="A7" s="84" t="s">
        <v>324</v>
      </c>
      <c r="B7" s="85" t="s">
        <v>316</v>
      </c>
      <c r="C7" s="85" t="s">
        <v>325</v>
      </c>
      <c r="D7" s="85" t="s">
        <v>326</v>
      </c>
      <c r="E7" s="86">
        <v>6805.7</v>
      </c>
      <c r="F7" s="87">
        <f>9045.923+2250.473+30.9+96.39+108.835+188.212+68.161+17.222+26.413+53.641+483.207+21.912+22.306+282.223+138.309</f>
        <v>12834.126999999999</v>
      </c>
      <c r="G7" s="88">
        <v>12623.9</v>
      </c>
      <c r="H7" s="88">
        <v>12051.4</v>
      </c>
      <c r="I7" s="88">
        <v>12253.7</v>
      </c>
      <c r="J7" s="87">
        <v>12292.3</v>
      </c>
      <c r="K7" s="89">
        <v>13525.4</v>
      </c>
      <c r="L7" s="89">
        <v>13759.9</v>
      </c>
      <c r="M7" s="90">
        <v>12956.4</v>
      </c>
      <c r="N7" s="90">
        <v>15903.6</v>
      </c>
      <c r="O7" s="90">
        <v>16082.1</v>
      </c>
      <c r="P7" s="90">
        <v>17781</v>
      </c>
      <c r="Q7" s="90">
        <v>18704.400000000001</v>
      </c>
      <c r="R7" s="90">
        <v>19478.2</v>
      </c>
      <c r="S7" s="90">
        <v>5106.3999999999996</v>
      </c>
      <c r="T7" s="90">
        <v>19233.8</v>
      </c>
      <c r="U7" s="90">
        <v>18667</v>
      </c>
      <c r="V7" s="90">
        <v>13484.6</v>
      </c>
      <c r="W7" s="90">
        <v>18314.2</v>
      </c>
      <c r="X7" s="90">
        <v>19670</v>
      </c>
      <c r="Y7" s="90">
        <v>19685.8</v>
      </c>
      <c r="Z7" s="90">
        <v>19685.8</v>
      </c>
      <c r="AA7" s="90">
        <f t="shared" si="3"/>
        <v>15.695513449538625</v>
      </c>
      <c r="AB7" s="90">
        <f t="shared" si="5"/>
        <v>28.013238996935204</v>
      </c>
      <c r="AC7" s="90">
        <f t="shared" si="6"/>
        <v>28.683664890493603</v>
      </c>
      <c r="AD7" s="90">
        <f t="shared" si="7"/>
        <v>28.063877832647144</v>
      </c>
      <c r="AE7" s="90">
        <f t="shared" si="4"/>
        <v>26.549095862492074</v>
      </c>
      <c r="AF7" s="91">
        <v>18704.400000000001</v>
      </c>
      <c r="AG7" s="91">
        <v>18704.400000000001</v>
      </c>
    </row>
    <row r="8" spans="1:34" ht="67.5" x14ac:dyDescent="0.2">
      <c r="A8" s="84" t="s">
        <v>327</v>
      </c>
      <c r="B8" s="85" t="s">
        <v>316</v>
      </c>
      <c r="C8" s="85" t="s">
        <v>328</v>
      </c>
      <c r="D8" s="85"/>
      <c r="E8" s="86"/>
      <c r="F8" s="87"/>
      <c r="G8" s="88"/>
      <c r="H8" s="88"/>
      <c r="I8" s="88"/>
      <c r="J8" s="87"/>
      <c r="K8" s="89"/>
      <c r="L8" s="89"/>
      <c r="M8" s="90"/>
      <c r="N8" s="90"/>
      <c r="O8" s="90"/>
      <c r="P8" s="90">
        <v>56.2</v>
      </c>
      <c r="Q8" s="90">
        <v>56.2</v>
      </c>
      <c r="R8" s="90">
        <v>56.2</v>
      </c>
      <c r="S8" s="90"/>
      <c r="T8" s="90">
        <v>51.4</v>
      </c>
      <c r="U8" s="90">
        <v>51.4</v>
      </c>
      <c r="V8" s="90">
        <v>51.4</v>
      </c>
      <c r="W8" s="90">
        <v>51.4</v>
      </c>
      <c r="X8" s="90"/>
      <c r="Y8" s="90"/>
      <c r="Z8" s="90"/>
      <c r="AA8" s="90">
        <f t="shared" si="3"/>
        <v>4.4050484940990342E-2</v>
      </c>
      <c r="AB8" s="90">
        <f t="shared" si="5"/>
        <v>0</v>
      </c>
      <c r="AC8" s="90">
        <f t="shared" si="6"/>
        <v>0</v>
      </c>
      <c r="AD8" s="90">
        <f t="shared" si="7"/>
        <v>0</v>
      </c>
      <c r="AE8" s="90">
        <f t="shared" si="4"/>
        <v>0</v>
      </c>
      <c r="AF8" s="91"/>
      <c r="AG8" s="91"/>
    </row>
    <row r="9" spans="1:34" ht="24" hidden="1" customHeight="1" x14ac:dyDescent="0.2">
      <c r="A9" s="84" t="s">
        <v>329</v>
      </c>
      <c r="B9" s="85" t="s">
        <v>316</v>
      </c>
      <c r="C9" s="85" t="s">
        <v>330</v>
      </c>
      <c r="D9" s="85" t="s">
        <v>331</v>
      </c>
      <c r="E9" s="86">
        <v>0</v>
      </c>
      <c r="F9" s="88">
        <f>625.8+417.2</f>
        <v>1043</v>
      </c>
      <c r="G9" s="88">
        <v>0</v>
      </c>
      <c r="H9" s="88">
        <v>0</v>
      </c>
      <c r="I9" s="88"/>
      <c r="J9" s="87">
        <v>0</v>
      </c>
      <c r="K9" s="89">
        <v>1188.4000000000001</v>
      </c>
      <c r="L9" s="89">
        <v>0</v>
      </c>
      <c r="M9" s="90"/>
      <c r="N9" s="90"/>
      <c r="O9" s="90"/>
      <c r="P9" s="90">
        <v>2403.1999999999998</v>
      </c>
      <c r="Q9" s="90"/>
      <c r="R9" s="90"/>
      <c r="S9" s="90"/>
      <c r="T9" s="90">
        <v>0</v>
      </c>
      <c r="U9" s="90"/>
      <c r="V9" s="90"/>
      <c r="W9" s="90"/>
      <c r="X9" s="90"/>
      <c r="Y9" s="90"/>
      <c r="Z9" s="90"/>
      <c r="AA9" s="90">
        <f t="shared" si="3"/>
        <v>0</v>
      </c>
      <c r="AB9" s="90">
        <f t="shared" si="5"/>
        <v>0</v>
      </c>
      <c r="AC9" s="90">
        <f t="shared" si="6"/>
        <v>0</v>
      </c>
      <c r="AD9" s="90">
        <f t="shared" si="7"/>
        <v>0</v>
      </c>
      <c r="AE9" s="90" t="e">
        <f t="shared" si="4"/>
        <v>#DIV/0!</v>
      </c>
      <c r="AF9" s="91"/>
      <c r="AG9" s="91"/>
    </row>
    <row r="10" spans="1:34" ht="15.75" customHeight="1" x14ac:dyDescent="0.2">
      <c r="A10" s="84" t="s">
        <v>332</v>
      </c>
      <c r="B10" s="85" t="s">
        <v>316</v>
      </c>
      <c r="C10" s="85" t="s">
        <v>333</v>
      </c>
      <c r="D10" s="85" t="s">
        <v>331</v>
      </c>
      <c r="E10" s="86">
        <v>0</v>
      </c>
      <c r="F10" s="88">
        <v>0</v>
      </c>
      <c r="G10" s="88">
        <v>0</v>
      </c>
      <c r="H10" s="88">
        <v>0</v>
      </c>
      <c r="I10" s="88">
        <v>0</v>
      </c>
      <c r="J10" s="87">
        <v>0</v>
      </c>
      <c r="K10" s="89">
        <v>0</v>
      </c>
      <c r="L10" s="89">
        <v>0</v>
      </c>
      <c r="M10" s="90">
        <v>0</v>
      </c>
      <c r="N10" s="90">
        <v>0</v>
      </c>
      <c r="O10" s="90">
        <v>0</v>
      </c>
      <c r="P10" s="90">
        <v>0</v>
      </c>
      <c r="Q10" s="90">
        <v>138</v>
      </c>
      <c r="R10" s="90">
        <v>138</v>
      </c>
      <c r="S10" s="90"/>
      <c r="T10" s="90">
        <v>138</v>
      </c>
      <c r="U10" s="90">
        <v>138</v>
      </c>
      <c r="V10" s="90"/>
      <c r="W10" s="90">
        <v>0</v>
      </c>
      <c r="X10" s="90">
        <v>138.4</v>
      </c>
      <c r="Y10" s="90">
        <v>138.4</v>
      </c>
      <c r="Z10" s="90">
        <v>138.4</v>
      </c>
      <c r="AA10" s="90">
        <f t="shared" si="3"/>
        <v>0</v>
      </c>
      <c r="AB10" s="90">
        <f t="shared" si="5"/>
        <v>0.19710382700436363</v>
      </c>
      <c r="AC10" s="90">
        <f t="shared" si="6"/>
        <v>0.20165902431419172</v>
      </c>
      <c r="AD10" s="90">
        <f t="shared" si="7"/>
        <v>0.19730164342004722</v>
      </c>
      <c r="AE10" s="90">
        <f t="shared" si="4"/>
        <v>0</v>
      </c>
      <c r="AF10" s="91">
        <v>138</v>
      </c>
      <c r="AG10" s="91">
        <v>138</v>
      </c>
    </row>
    <row r="11" spans="1:34" ht="29.25" customHeight="1" x14ac:dyDescent="0.2">
      <c r="A11" s="84" t="s">
        <v>334</v>
      </c>
      <c r="B11" s="85" t="s">
        <v>316</v>
      </c>
      <c r="C11" s="85" t="s">
        <v>335</v>
      </c>
      <c r="D11" s="85" t="s">
        <v>336</v>
      </c>
      <c r="E11" s="86">
        <v>8852.9599999999991</v>
      </c>
      <c r="F11" s="87">
        <f>99.986+421.716+491.985+117.179+108.7+53</f>
        <v>1292.566</v>
      </c>
      <c r="G11" s="88">
        <v>1603.5</v>
      </c>
      <c r="H11" s="88">
        <v>3638.7</v>
      </c>
      <c r="I11" s="88">
        <v>2612.6</v>
      </c>
      <c r="J11" s="87">
        <v>2078.1999999999998</v>
      </c>
      <c r="K11" s="89">
        <v>5778.3</v>
      </c>
      <c r="L11" s="89">
        <v>4555.7</v>
      </c>
      <c r="M11" s="90">
        <v>10716.5</v>
      </c>
      <c r="N11" s="90">
        <v>6826.2</v>
      </c>
      <c r="O11" s="90">
        <v>7058</v>
      </c>
      <c r="P11" s="90">
        <v>5182.3999999999996</v>
      </c>
      <c r="Q11" s="90">
        <v>4155.5</v>
      </c>
      <c r="R11" s="90">
        <v>4835.5</v>
      </c>
      <c r="S11" s="90">
        <v>1308.3</v>
      </c>
      <c r="T11" s="90">
        <v>4985.5</v>
      </c>
      <c r="U11" s="90">
        <v>5734.3</v>
      </c>
      <c r="V11" s="90">
        <v>3566.8</v>
      </c>
      <c r="W11" s="90">
        <v>5734.3</v>
      </c>
      <c r="X11" s="90">
        <v>2913.6</v>
      </c>
      <c r="Y11" s="90">
        <v>4539.3999999999996</v>
      </c>
      <c r="Z11" s="90">
        <v>6239.3</v>
      </c>
      <c r="AA11" s="90">
        <f t="shared" si="3"/>
        <v>4.9143715135626636</v>
      </c>
      <c r="AB11" s="90">
        <f t="shared" si="5"/>
        <v>4.1494343234097819</v>
      </c>
      <c r="AC11" s="90">
        <f t="shared" si="6"/>
        <v>6.6142411486404757</v>
      </c>
      <c r="AD11" s="90">
        <f t="shared" si="7"/>
        <v>8.8946831198750029</v>
      </c>
      <c r="AE11" s="90">
        <f t="shared" si="4"/>
        <v>26.242102096078629</v>
      </c>
      <c r="AF11" s="91">
        <v>4442.8</v>
      </c>
      <c r="AG11" s="91">
        <v>5874</v>
      </c>
    </row>
    <row r="12" spans="1:34" s="83" customFormat="1" ht="15.75" customHeight="1" x14ac:dyDescent="0.15">
      <c r="A12" s="79" t="s">
        <v>337</v>
      </c>
      <c r="B12" s="80" t="s">
        <v>322</v>
      </c>
      <c r="C12" s="80"/>
      <c r="D12" s="92" t="str">
        <f t="shared" ref="D12:O12" si="8">D13</f>
        <v>356</v>
      </c>
      <c r="E12" s="92">
        <f t="shared" si="8"/>
        <v>357</v>
      </c>
      <c r="F12" s="92">
        <f t="shared" si="8"/>
        <v>400.84399999999999</v>
      </c>
      <c r="G12" s="92">
        <f t="shared" si="8"/>
        <v>780</v>
      </c>
      <c r="H12" s="92">
        <f t="shared" si="8"/>
        <v>610.4</v>
      </c>
      <c r="I12" s="92">
        <f t="shared" si="8"/>
        <v>552</v>
      </c>
      <c r="J12" s="81">
        <f t="shared" si="8"/>
        <v>378.2</v>
      </c>
      <c r="K12" s="81">
        <f t="shared" si="8"/>
        <v>393.8</v>
      </c>
      <c r="L12" s="81">
        <f t="shared" si="8"/>
        <v>435.5</v>
      </c>
      <c r="M12" s="81">
        <f t="shared" si="8"/>
        <v>481</v>
      </c>
      <c r="N12" s="81">
        <f t="shared" si="8"/>
        <v>524.1</v>
      </c>
      <c r="O12" s="81">
        <f t="shared" si="8"/>
        <v>578.5</v>
      </c>
      <c r="P12" s="81">
        <f>P13</f>
        <v>617.9</v>
      </c>
      <c r="Q12" s="81">
        <f>Q13</f>
        <v>700.5</v>
      </c>
      <c r="R12" s="81">
        <f t="shared" ref="R12:Z12" si="9">R13</f>
        <v>700.5</v>
      </c>
      <c r="S12" s="81">
        <f t="shared" si="9"/>
        <v>123.2</v>
      </c>
      <c r="T12" s="81">
        <f t="shared" si="9"/>
        <v>700.5</v>
      </c>
      <c r="U12" s="81">
        <f t="shared" si="9"/>
        <v>700.5</v>
      </c>
      <c r="V12" s="81">
        <f t="shared" si="9"/>
        <v>519.4</v>
      </c>
      <c r="W12" s="81">
        <f t="shared" si="9"/>
        <v>700.5</v>
      </c>
      <c r="X12" s="81">
        <f t="shared" si="9"/>
        <v>856.6</v>
      </c>
      <c r="Y12" s="81">
        <f t="shared" si="9"/>
        <v>938.6</v>
      </c>
      <c r="Z12" s="81">
        <f t="shared" si="9"/>
        <v>972.9</v>
      </c>
      <c r="AA12" s="81">
        <f t="shared" si="3"/>
        <v>0.60033783465299095</v>
      </c>
      <c r="AB12" s="81">
        <f t="shared" si="5"/>
        <v>1.2199359697394356</v>
      </c>
      <c r="AC12" s="81">
        <f t="shared" si="6"/>
        <v>1.3676095391712453</v>
      </c>
      <c r="AD12" s="81">
        <f t="shared" si="7"/>
        <v>1.3869564225676583</v>
      </c>
      <c r="AE12" s="81">
        <f t="shared" si="4"/>
        <v>17.587437544610992</v>
      </c>
      <c r="AF12" s="82">
        <f>AF13</f>
        <v>773.4</v>
      </c>
      <c r="AG12" s="82">
        <f t="shared" ref="AG12" si="10">AG13</f>
        <v>847.6</v>
      </c>
    </row>
    <row r="13" spans="1:34" ht="26.25" customHeight="1" x14ac:dyDescent="0.2">
      <c r="A13" s="84" t="s">
        <v>338</v>
      </c>
      <c r="B13" s="85" t="s">
        <v>322</v>
      </c>
      <c r="C13" s="85" t="s">
        <v>317</v>
      </c>
      <c r="D13" s="85" t="s">
        <v>339</v>
      </c>
      <c r="E13" s="86">
        <v>357</v>
      </c>
      <c r="F13" s="87">
        <f>335.844+65</f>
        <v>400.84399999999999</v>
      </c>
      <c r="G13" s="88">
        <v>780</v>
      </c>
      <c r="H13" s="88">
        <v>610.4</v>
      </c>
      <c r="I13" s="88">
        <v>552</v>
      </c>
      <c r="J13" s="87">
        <v>378.2</v>
      </c>
      <c r="K13" s="89">
        <v>393.8</v>
      </c>
      <c r="L13" s="89">
        <v>435.5</v>
      </c>
      <c r="M13" s="90">
        <v>481</v>
      </c>
      <c r="N13" s="90">
        <v>524.1</v>
      </c>
      <c r="O13" s="90">
        <v>578.5</v>
      </c>
      <c r="P13" s="90">
        <v>617.9</v>
      </c>
      <c r="Q13" s="90">
        <v>700.5</v>
      </c>
      <c r="R13" s="90">
        <v>700.5</v>
      </c>
      <c r="S13" s="90">
        <v>123.2</v>
      </c>
      <c r="T13" s="90">
        <v>700.5</v>
      </c>
      <c r="U13" s="90">
        <v>700.5</v>
      </c>
      <c r="V13" s="90">
        <v>519.4</v>
      </c>
      <c r="W13" s="90">
        <v>700.5</v>
      </c>
      <c r="X13" s="90">
        <v>856.6</v>
      </c>
      <c r="Y13" s="90">
        <v>938.6</v>
      </c>
      <c r="Z13" s="90">
        <v>972.9</v>
      </c>
      <c r="AA13" s="90">
        <f t="shared" si="3"/>
        <v>0.60033783465299095</v>
      </c>
      <c r="AB13" s="90">
        <f t="shared" si="5"/>
        <v>1.2199359697394356</v>
      </c>
      <c r="AC13" s="90">
        <f t="shared" si="6"/>
        <v>1.3676095391712453</v>
      </c>
      <c r="AD13" s="90">
        <f t="shared" si="7"/>
        <v>1.3869564225676583</v>
      </c>
      <c r="AE13" s="90">
        <f t="shared" si="4"/>
        <v>17.587437544610992</v>
      </c>
      <c r="AF13" s="91">
        <v>773.4</v>
      </c>
      <c r="AG13" s="91">
        <v>847.6</v>
      </c>
    </row>
    <row r="14" spans="1:34" s="83" customFormat="1" ht="46.5" customHeight="1" x14ac:dyDescent="0.15">
      <c r="A14" s="79" t="s">
        <v>340</v>
      </c>
      <c r="B14" s="80" t="s">
        <v>317</v>
      </c>
      <c r="C14" s="80"/>
      <c r="D14" s="92">
        <f t="shared" ref="D14:I14" si="11">D16+D15</f>
        <v>194.18600000000001</v>
      </c>
      <c r="E14" s="92">
        <f t="shared" si="11"/>
        <v>139.65</v>
      </c>
      <c r="F14" s="81">
        <f t="shared" si="11"/>
        <v>349.44200000000001</v>
      </c>
      <c r="G14" s="81">
        <f t="shared" si="11"/>
        <v>351</v>
      </c>
      <c r="H14" s="81">
        <f t="shared" si="11"/>
        <v>481.8</v>
      </c>
      <c r="I14" s="81">
        <f t="shared" si="11"/>
        <v>626</v>
      </c>
      <c r="J14" s="81">
        <f t="shared" ref="J14:M14" si="12">J16+J15+J18</f>
        <v>723.8</v>
      </c>
      <c r="K14" s="81">
        <f t="shared" si="12"/>
        <v>303.3</v>
      </c>
      <c r="L14" s="81">
        <f t="shared" si="12"/>
        <v>307.70000000000005</v>
      </c>
      <c r="M14" s="81">
        <f t="shared" si="12"/>
        <v>2318.7000000000003</v>
      </c>
      <c r="N14" s="81">
        <f t="shared" ref="N14:O14" si="13">N16+N15+N18+N17</f>
        <v>1479.8</v>
      </c>
      <c r="O14" s="81">
        <f t="shared" si="13"/>
        <v>800.3</v>
      </c>
      <c r="P14" s="81">
        <f>P15+P17+P18</f>
        <v>361</v>
      </c>
      <c r="Q14" s="81">
        <f>Q15+Q17+Q18</f>
        <v>330.79999999999995</v>
      </c>
      <c r="R14" s="81">
        <f t="shared" ref="R14:Z14" si="14">R15+R17+R18</f>
        <v>544</v>
      </c>
      <c r="S14" s="81">
        <f t="shared" si="14"/>
        <v>66.7</v>
      </c>
      <c r="T14" s="81">
        <f t="shared" si="14"/>
        <v>1102.2</v>
      </c>
      <c r="U14" s="81">
        <f t="shared" si="14"/>
        <v>1174.3</v>
      </c>
      <c r="V14" s="81">
        <f t="shared" si="14"/>
        <v>1136.5999999999999</v>
      </c>
      <c r="W14" s="81">
        <f t="shared" si="14"/>
        <v>1244.3</v>
      </c>
      <c r="X14" s="81">
        <f t="shared" si="14"/>
        <v>642.79999999999995</v>
      </c>
      <c r="Y14" s="81">
        <f>Y15+Y17+Y18</f>
        <v>647.09999999999991</v>
      </c>
      <c r="Z14" s="81">
        <f t="shared" si="14"/>
        <v>646.9</v>
      </c>
      <c r="AA14" s="81">
        <f t="shared" si="3"/>
        <v>1.0663816811687603</v>
      </c>
      <c r="AB14" s="81">
        <f t="shared" si="5"/>
        <v>0.91545043351448641</v>
      </c>
      <c r="AC14" s="81">
        <f t="shared" si="6"/>
        <v>0.94287250457885441</v>
      </c>
      <c r="AD14" s="81">
        <f t="shared" si="7"/>
        <v>0.92221411219962812</v>
      </c>
      <c r="AE14" s="81">
        <f t="shared" si="4"/>
        <v>6.0515332970422788</v>
      </c>
      <c r="AF14" s="82">
        <f t="shared" ref="AF14:AG14" si="15">AF15+AF17+AF18</f>
        <v>331.09999999999997</v>
      </c>
      <c r="AG14" s="82">
        <f t="shared" si="15"/>
        <v>330.79999999999995</v>
      </c>
    </row>
    <row r="15" spans="1:34" ht="15.75" customHeight="1" x14ac:dyDescent="0.2">
      <c r="A15" s="93" t="s">
        <v>341</v>
      </c>
      <c r="B15" s="85" t="s">
        <v>317</v>
      </c>
      <c r="C15" s="85" t="s">
        <v>325</v>
      </c>
      <c r="D15" s="85"/>
      <c r="E15" s="86">
        <v>26</v>
      </c>
      <c r="F15" s="87">
        <f>42.742+14.057+7.109+13+8.09+1.5+15.597+7.8+1.603</f>
        <v>111.49799999999999</v>
      </c>
      <c r="G15" s="88">
        <v>99</v>
      </c>
      <c r="H15" s="88">
        <v>88</v>
      </c>
      <c r="I15" s="88">
        <v>101</v>
      </c>
      <c r="J15" s="87">
        <v>97</v>
      </c>
      <c r="K15" s="89">
        <v>100</v>
      </c>
      <c r="L15" s="89">
        <v>113.1</v>
      </c>
      <c r="M15" s="90">
        <v>109.9</v>
      </c>
      <c r="N15" s="90">
        <v>100.6</v>
      </c>
      <c r="O15" s="90">
        <v>103.9</v>
      </c>
      <c r="P15" s="90">
        <v>131.1</v>
      </c>
      <c r="Q15" s="90">
        <v>143.6</v>
      </c>
      <c r="R15" s="90">
        <v>143.6</v>
      </c>
      <c r="S15" s="90">
        <v>23.3</v>
      </c>
      <c r="T15" s="90">
        <v>143.6</v>
      </c>
      <c r="U15" s="90">
        <v>143.6</v>
      </c>
      <c r="V15" s="90">
        <v>88.6</v>
      </c>
      <c r="W15" s="90">
        <v>143.6</v>
      </c>
      <c r="X15" s="90">
        <v>138.6</v>
      </c>
      <c r="Y15" s="90">
        <v>142.69999999999999</v>
      </c>
      <c r="Z15" s="90">
        <v>142.69999999999999</v>
      </c>
      <c r="AA15" s="90">
        <f t="shared" si="3"/>
        <v>0.12306711357054888</v>
      </c>
      <c r="AB15" s="90">
        <f t="shared" si="5"/>
        <v>0.19738865912431211</v>
      </c>
      <c r="AC15" s="90">
        <f t="shared" si="6"/>
        <v>0.20792444197713261</v>
      </c>
      <c r="AD15" s="90">
        <f t="shared" si="7"/>
        <v>0.20343168002919604</v>
      </c>
      <c r="AE15" s="90">
        <f t="shared" si="4"/>
        <v>16.225626740947078</v>
      </c>
      <c r="AF15" s="91">
        <v>143.6</v>
      </c>
      <c r="AG15" s="91">
        <v>143.6</v>
      </c>
    </row>
    <row r="16" spans="1:34" ht="15.75" hidden="1" customHeight="1" x14ac:dyDescent="0.2">
      <c r="A16" s="94" t="s">
        <v>342</v>
      </c>
      <c r="B16" s="85" t="s">
        <v>317</v>
      </c>
      <c r="C16" s="85" t="s">
        <v>343</v>
      </c>
      <c r="D16" s="85" t="s">
        <v>344</v>
      </c>
      <c r="E16" s="86">
        <v>113.65</v>
      </c>
      <c r="F16" s="87">
        <f>73.727+38.52+12.96+11.465+24.982+61.06+15.23</f>
        <v>237.94400000000002</v>
      </c>
      <c r="G16" s="88">
        <v>252</v>
      </c>
      <c r="H16" s="88">
        <v>393.8</v>
      </c>
      <c r="I16" s="88">
        <v>525</v>
      </c>
      <c r="J16" s="87">
        <v>515.4</v>
      </c>
      <c r="K16" s="89">
        <v>127.5</v>
      </c>
      <c r="L16" s="89">
        <v>105.7</v>
      </c>
      <c r="M16" s="90">
        <v>2124.5</v>
      </c>
      <c r="N16" s="90">
        <v>35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>
        <f t="shared" si="3"/>
        <v>0</v>
      </c>
      <c r="AB16" s="90">
        <f t="shared" si="5"/>
        <v>0</v>
      </c>
      <c r="AC16" s="90">
        <f t="shared" si="6"/>
        <v>0</v>
      </c>
      <c r="AD16" s="90">
        <f t="shared" si="7"/>
        <v>0</v>
      </c>
      <c r="AE16" s="90" t="e">
        <f t="shared" si="4"/>
        <v>#DIV/0!</v>
      </c>
      <c r="AF16" s="91"/>
      <c r="AG16" s="91"/>
    </row>
    <row r="17" spans="1:33" ht="63.75" customHeight="1" x14ac:dyDescent="0.2">
      <c r="A17" s="94" t="s">
        <v>345</v>
      </c>
      <c r="B17" s="85" t="s">
        <v>317</v>
      </c>
      <c r="C17" s="85" t="s">
        <v>318</v>
      </c>
      <c r="D17" s="85"/>
      <c r="E17" s="86"/>
      <c r="F17" s="87"/>
      <c r="G17" s="88"/>
      <c r="H17" s="88"/>
      <c r="I17" s="88"/>
      <c r="J17" s="87"/>
      <c r="K17" s="89"/>
      <c r="L17" s="89"/>
      <c r="M17" s="90"/>
      <c r="N17" s="90">
        <v>1258.5</v>
      </c>
      <c r="O17" s="90">
        <v>613</v>
      </c>
      <c r="P17" s="90">
        <v>185.5</v>
      </c>
      <c r="Q17" s="90">
        <v>134.19999999999999</v>
      </c>
      <c r="R17" s="90">
        <v>347.4</v>
      </c>
      <c r="S17" s="90">
        <v>43.4</v>
      </c>
      <c r="T17" s="90">
        <v>905.6</v>
      </c>
      <c r="U17" s="90">
        <v>977.7</v>
      </c>
      <c r="V17" s="90">
        <v>1020</v>
      </c>
      <c r="W17" s="90">
        <v>1047.7</v>
      </c>
      <c r="X17" s="90">
        <v>82.5</v>
      </c>
      <c r="Y17" s="90">
        <v>82.5</v>
      </c>
      <c r="Z17" s="90">
        <v>82.5</v>
      </c>
      <c r="AA17" s="90">
        <f t="shared" si="3"/>
        <v>0.8978928613361008</v>
      </c>
      <c r="AB17" s="90">
        <f t="shared" si="5"/>
        <v>0.11749324947875721</v>
      </c>
      <c r="AC17" s="90">
        <f t="shared" si="6"/>
        <v>0.12020859469595965</v>
      </c>
      <c r="AD17" s="90">
        <f t="shared" si="7"/>
        <v>0.11761116750111193</v>
      </c>
      <c r="AE17" s="90">
        <f t="shared" si="4"/>
        <v>4.792402826855124</v>
      </c>
      <c r="AF17" s="91">
        <v>134.19999999999999</v>
      </c>
      <c r="AG17" s="91">
        <v>134.19999999999999</v>
      </c>
    </row>
    <row r="18" spans="1:33" ht="48" customHeight="1" x14ac:dyDescent="0.2">
      <c r="A18" s="94" t="s">
        <v>346</v>
      </c>
      <c r="B18" s="85" t="s">
        <v>317</v>
      </c>
      <c r="C18" s="85" t="s">
        <v>347</v>
      </c>
      <c r="D18" s="85"/>
      <c r="E18" s="86"/>
      <c r="F18" s="87"/>
      <c r="G18" s="88"/>
      <c r="H18" s="88"/>
      <c r="I18" s="88"/>
      <c r="J18" s="87">
        <v>111.4</v>
      </c>
      <c r="K18" s="89">
        <v>75.8</v>
      </c>
      <c r="L18" s="89">
        <v>88.9</v>
      </c>
      <c r="M18" s="90">
        <v>84.3</v>
      </c>
      <c r="N18" s="90">
        <v>85.7</v>
      </c>
      <c r="O18" s="90">
        <v>83.4</v>
      </c>
      <c r="P18" s="90">
        <v>44.4</v>
      </c>
      <c r="Q18" s="90">
        <v>53</v>
      </c>
      <c r="R18" s="90">
        <v>53</v>
      </c>
      <c r="S18" s="90"/>
      <c r="T18" s="90">
        <v>53</v>
      </c>
      <c r="U18" s="90">
        <v>53</v>
      </c>
      <c r="V18" s="90">
        <v>28</v>
      </c>
      <c r="W18" s="90">
        <v>53</v>
      </c>
      <c r="X18" s="90">
        <v>421.7</v>
      </c>
      <c r="Y18" s="90">
        <v>421.9</v>
      </c>
      <c r="Z18" s="90">
        <v>421.7</v>
      </c>
      <c r="AA18" s="90">
        <f t="shared" si="3"/>
        <v>4.5421706262110666E-2</v>
      </c>
      <c r="AB18" s="90">
        <f t="shared" si="5"/>
        <v>0.6005685249114171</v>
      </c>
      <c r="AC18" s="90">
        <f t="shared" si="6"/>
        <v>0.61473946790576217</v>
      </c>
      <c r="AD18" s="90">
        <f t="shared" si="7"/>
        <v>0.60117126466932003</v>
      </c>
      <c r="AE18" s="90">
        <f t="shared" si="4"/>
        <v>0</v>
      </c>
      <c r="AF18" s="91">
        <v>53.3</v>
      </c>
      <c r="AG18" s="91">
        <v>53</v>
      </c>
    </row>
    <row r="19" spans="1:33" s="83" customFormat="1" ht="18.75" customHeight="1" x14ac:dyDescent="0.15">
      <c r="A19" s="79" t="s">
        <v>348</v>
      </c>
      <c r="B19" s="80" t="s">
        <v>325</v>
      </c>
      <c r="C19" s="80"/>
      <c r="D19" s="92">
        <f t="shared" ref="D19:I19" si="16">D22+D25+D24+D20+D23</f>
        <v>1378.3679999999999</v>
      </c>
      <c r="E19" s="92">
        <f t="shared" si="16"/>
        <v>12044.8</v>
      </c>
      <c r="F19" s="92">
        <f t="shared" si="16"/>
        <v>7811.6809999999996</v>
      </c>
      <c r="G19" s="92">
        <f t="shared" si="16"/>
        <v>9084.2999999999993</v>
      </c>
      <c r="H19" s="92">
        <f t="shared" si="16"/>
        <v>12492</v>
      </c>
      <c r="I19" s="92">
        <f t="shared" si="16"/>
        <v>8613.4</v>
      </c>
      <c r="J19" s="81">
        <f>J20+J22+J24+J25+J23</f>
        <v>11271.1</v>
      </c>
      <c r="K19" s="81">
        <f>K20+K22+K24+K25+K23</f>
        <v>11909.7</v>
      </c>
      <c r="L19" s="81">
        <f>L20+L22+L23+L24</f>
        <v>15022.4</v>
      </c>
      <c r="M19" s="81">
        <f>M20+M22+M24+M25+M23</f>
        <v>16405.199999999997</v>
      </c>
      <c r="N19" s="81">
        <f t="shared" ref="N19:O19" si="17">N20+N22+N24+N25+N23+N21</f>
        <v>17203.3</v>
      </c>
      <c r="O19" s="81">
        <f t="shared" si="17"/>
        <v>22778.799999999999</v>
      </c>
      <c r="P19" s="81">
        <f t="shared" ref="P19" si="18">P20+P21+P22+P23+P24</f>
        <v>17637</v>
      </c>
      <c r="Q19" s="81">
        <f>Q20+Q21+Q22+Q23+Q24</f>
        <v>15960.3</v>
      </c>
      <c r="R19" s="81">
        <f t="shared" ref="R19:Z19" si="19">R20+R21+R22+R23+R24</f>
        <v>18220.099999999999</v>
      </c>
      <c r="S19" s="81">
        <f t="shared" si="19"/>
        <v>2753.7</v>
      </c>
      <c r="T19" s="81">
        <f t="shared" si="19"/>
        <v>27876.1</v>
      </c>
      <c r="U19" s="81">
        <f t="shared" si="19"/>
        <v>28529.8</v>
      </c>
      <c r="V19" s="81">
        <f t="shared" si="19"/>
        <v>24022.400000000001</v>
      </c>
      <c r="W19" s="81">
        <f t="shared" si="19"/>
        <v>28897.9</v>
      </c>
      <c r="X19" s="81">
        <f t="shared" si="19"/>
        <v>16520.800000000003</v>
      </c>
      <c r="Y19" s="81">
        <f t="shared" si="19"/>
        <v>14832.7</v>
      </c>
      <c r="Z19" s="81">
        <f t="shared" si="19"/>
        <v>16314.2</v>
      </c>
      <c r="AA19" s="81">
        <f t="shared" si="3"/>
        <v>24.765885384751847</v>
      </c>
      <c r="AB19" s="81">
        <f t="shared" si="5"/>
        <v>23.528272436226093</v>
      </c>
      <c r="AC19" s="81">
        <f t="shared" si="6"/>
        <v>21.612339667233467</v>
      </c>
      <c r="AD19" s="81">
        <f t="shared" si="7"/>
        <v>23.257358895110794</v>
      </c>
      <c r="AE19" s="81">
        <f t="shared" si="4"/>
        <v>9.8783545761422875</v>
      </c>
      <c r="AF19" s="82">
        <f t="shared" ref="AF19:AG19" si="20">AF20+AF21+AF22+AF23+AF24</f>
        <v>14884.7</v>
      </c>
      <c r="AG19" s="82">
        <f t="shared" si="20"/>
        <v>14887.7</v>
      </c>
    </row>
    <row r="20" spans="1:33" ht="18.75" customHeight="1" x14ac:dyDescent="0.2">
      <c r="A20" s="84" t="s">
        <v>349</v>
      </c>
      <c r="B20" s="85" t="s">
        <v>325</v>
      </c>
      <c r="C20" s="85" t="s">
        <v>316</v>
      </c>
      <c r="D20" s="85" t="s">
        <v>350</v>
      </c>
      <c r="E20" s="86">
        <v>1342.7</v>
      </c>
      <c r="F20" s="95">
        <f>1789.011+540.343+26.023</f>
        <v>2355.377</v>
      </c>
      <c r="G20" s="88">
        <v>1761.1</v>
      </c>
      <c r="H20" s="88">
        <v>1230.9000000000001</v>
      </c>
      <c r="I20" s="88">
        <v>1071.9000000000001</v>
      </c>
      <c r="J20" s="87">
        <v>1617.8</v>
      </c>
      <c r="K20" s="89">
        <v>2806.9</v>
      </c>
      <c r="L20" s="89">
        <v>2076.4</v>
      </c>
      <c r="M20" s="90">
        <v>2743</v>
      </c>
      <c r="N20" s="90">
        <v>3186.9</v>
      </c>
      <c r="O20" s="90">
        <v>2929.8</v>
      </c>
      <c r="P20" s="90">
        <v>3319.2</v>
      </c>
      <c r="Q20" s="90">
        <v>1275.9000000000001</v>
      </c>
      <c r="R20" s="90">
        <v>1399.9</v>
      </c>
      <c r="S20" s="90">
        <v>794</v>
      </c>
      <c r="T20" s="90">
        <v>2583.9</v>
      </c>
      <c r="U20" s="90">
        <v>3162.4</v>
      </c>
      <c r="V20" s="90">
        <v>2466.4</v>
      </c>
      <c r="W20" s="90">
        <v>3530.5</v>
      </c>
      <c r="X20" s="90">
        <v>1827</v>
      </c>
      <c r="Y20" s="90"/>
      <c r="Z20" s="90"/>
      <c r="AA20" s="90">
        <f t="shared" si="3"/>
        <v>3.0256855463845604</v>
      </c>
      <c r="AB20" s="90">
        <f t="shared" si="5"/>
        <v>2.6019414157295686</v>
      </c>
      <c r="AC20" s="90">
        <f t="shared" si="6"/>
        <v>0</v>
      </c>
      <c r="AD20" s="90">
        <f t="shared" si="7"/>
        <v>0</v>
      </c>
      <c r="AE20" s="90">
        <f t="shared" si="4"/>
        <v>30.72874337242153</v>
      </c>
      <c r="AF20" s="91"/>
      <c r="AG20" s="91"/>
    </row>
    <row r="21" spans="1:33" ht="23.25" customHeight="1" x14ac:dyDescent="0.2">
      <c r="A21" s="84" t="s">
        <v>351</v>
      </c>
      <c r="B21" s="85" t="s">
        <v>325</v>
      </c>
      <c r="C21" s="85" t="s">
        <v>352</v>
      </c>
      <c r="D21" s="85"/>
      <c r="E21" s="86"/>
      <c r="F21" s="95"/>
      <c r="G21" s="88"/>
      <c r="H21" s="88"/>
      <c r="I21" s="88"/>
      <c r="J21" s="87"/>
      <c r="K21" s="89"/>
      <c r="L21" s="89"/>
      <c r="M21" s="90"/>
      <c r="N21" s="90">
        <v>178.1</v>
      </c>
      <c r="O21" s="90">
        <v>298.60000000000002</v>
      </c>
      <c r="P21" s="90">
        <v>299.2</v>
      </c>
      <c r="Q21" s="90"/>
      <c r="R21" s="90"/>
      <c r="S21" s="90"/>
      <c r="T21" s="90">
        <v>300</v>
      </c>
      <c r="U21" s="90">
        <v>300</v>
      </c>
      <c r="V21" s="90"/>
      <c r="W21" s="90">
        <v>300</v>
      </c>
      <c r="X21" s="90"/>
      <c r="Y21" s="90"/>
      <c r="Z21" s="90"/>
      <c r="AA21" s="90">
        <f t="shared" si="3"/>
        <v>0.25710399771006032</v>
      </c>
      <c r="AB21" s="90">
        <f t="shared" si="5"/>
        <v>0</v>
      </c>
      <c r="AC21" s="90">
        <f t="shared" si="6"/>
        <v>0</v>
      </c>
      <c r="AD21" s="90">
        <f t="shared" si="7"/>
        <v>0</v>
      </c>
      <c r="AE21" s="90">
        <f t="shared" si="4"/>
        <v>0</v>
      </c>
      <c r="AF21" s="91"/>
      <c r="AG21" s="91"/>
    </row>
    <row r="22" spans="1:33" ht="15.75" customHeight="1" x14ac:dyDescent="0.2">
      <c r="A22" s="84" t="s">
        <v>353</v>
      </c>
      <c r="B22" s="85" t="s">
        <v>325</v>
      </c>
      <c r="C22" s="85" t="s">
        <v>354</v>
      </c>
      <c r="D22" s="85" t="s">
        <v>331</v>
      </c>
      <c r="E22" s="86">
        <v>0</v>
      </c>
      <c r="F22" s="95">
        <v>1999</v>
      </c>
      <c r="G22" s="88">
        <v>1999</v>
      </c>
      <c r="H22" s="88">
        <v>6219.4</v>
      </c>
      <c r="I22" s="88">
        <v>2400</v>
      </c>
      <c r="J22" s="87">
        <v>2400</v>
      </c>
      <c r="K22" s="89">
        <v>2400</v>
      </c>
      <c r="L22" s="89">
        <v>2400</v>
      </c>
      <c r="M22" s="90">
        <v>2400</v>
      </c>
      <c r="N22" s="90">
        <v>3500</v>
      </c>
      <c r="O22" s="90">
        <v>3500</v>
      </c>
      <c r="P22" s="90">
        <v>3202.4</v>
      </c>
      <c r="Q22" s="90">
        <v>3500</v>
      </c>
      <c r="R22" s="90">
        <v>3797.6</v>
      </c>
      <c r="S22" s="90">
        <v>793.9</v>
      </c>
      <c r="T22" s="90">
        <v>3797.6</v>
      </c>
      <c r="U22" s="90">
        <v>3797.6</v>
      </c>
      <c r="V22" s="90">
        <v>2572</v>
      </c>
      <c r="W22" s="90">
        <v>3797.6</v>
      </c>
      <c r="X22" s="90">
        <v>3797.6</v>
      </c>
      <c r="Y22" s="90">
        <v>3797.6</v>
      </c>
      <c r="Z22" s="90">
        <v>3797.6</v>
      </c>
      <c r="AA22" s="90">
        <f t="shared" si="3"/>
        <v>3.2545938056790837</v>
      </c>
      <c r="AB22" s="90">
        <f t="shared" si="5"/>
        <v>5.4083922935821622</v>
      </c>
      <c r="AC22" s="90">
        <f t="shared" si="6"/>
        <v>5.5333837480894106</v>
      </c>
      <c r="AD22" s="90">
        <f t="shared" si="7"/>
        <v>5.4138202388148207</v>
      </c>
      <c r="AE22" s="90">
        <f t="shared" si="4"/>
        <v>20.905308615967979</v>
      </c>
      <c r="AF22" s="91">
        <v>3500</v>
      </c>
      <c r="AG22" s="91">
        <v>3500</v>
      </c>
    </row>
    <row r="23" spans="1:33" ht="22.5" x14ac:dyDescent="0.2">
      <c r="A23" s="94" t="s">
        <v>355</v>
      </c>
      <c r="B23" s="85" t="s">
        <v>325</v>
      </c>
      <c r="C23" s="85" t="s">
        <v>343</v>
      </c>
      <c r="D23" s="85" t="s">
        <v>331</v>
      </c>
      <c r="E23" s="86">
        <v>9792.2999999999993</v>
      </c>
      <c r="F23" s="95">
        <f>1434.756+97+667.02+775.669</f>
        <v>2974.4449999999997</v>
      </c>
      <c r="G23" s="88">
        <v>4960.5</v>
      </c>
      <c r="H23" s="88">
        <v>3815.8</v>
      </c>
      <c r="I23" s="88">
        <v>3878.9</v>
      </c>
      <c r="J23" s="87">
        <v>6661</v>
      </c>
      <c r="K23" s="89">
        <v>6102.8</v>
      </c>
      <c r="L23" s="89">
        <v>9809.2000000000007</v>
      </c>
      <c r="M23" s="90">
        <v>10565.3</v>
      </c>
      <c r="N23" s="90">
        <v>9623.2000000000007</v>
      </c>
      <c r="O23" s="90">
        <v>15369.7</v>
      </c>
      <c r="P23" s="90">
        <v>10816.2</v>
      </c>
      <c r="Q23" s="90">
        <v>11184.4</v>
      </c>
      <c r="R23" s="90">
        <v>13022.6</v>
      </c>
      <c r="S23" s="90">
        <v>1165.8</v>
      </c>
      <c r="T23" s="90">
        <v>21194.6</v>
      </c>
      <c r="U23" s="90">
        <v>21269.8</v>
      </c>
      <c r="V23" s="90">
        <v>18984</v>
      </c>
      <c r="W23" s="90">
        <v>21269.8</v>
      </c>
      <c r="X23" s="90">
        <v>10896.2</v>
      </c>
      <c r="Y23" s="90">
        <v>11035.1</v>
      </c>
      <c r="Z23" s="90">
        <v>12516.6</v>
      </c>
      <c r="AA23" s="90">
        <f t="shared" si="3"/>
        <v>18.228502034978138</v>
      </c>
      <c r="AB23" s="90">
        <f t="shared" si="5"/>
        <v>15.517938726914357</v>
      </c>
      <c r="AC23" s="90">
        <f t="shared" si="6"/>
        <v>16.078955919144057</v>
      </c>
      <c r="AD23" s="90">
        <f t="shared" si="7"/>
        <v>17.843538656295973</v>
      </c>
      <c r="AE23" s="90">
        <f t="shared" si="4"/>
        <v>5.5004576637445384</v>
      </c>
      <c r="AF23" s="91">
        <v>11384.7</v>
      </c>
      <c r="AG23" s="91">
        <v>11387.7</v>
      </c>
    </row>
    <row r="24" spans="1:33" ht="15.75" hidden="1" customHeight="1" x14ac:dyDescent="0.2">
      <c r="A24" s="94" t="s">
        <v>356</v>
      </c>
      <c r="B24" s="85" t="s">
        <v>325</v>
      </c>
      <c r="C24" s="85" t="s">
        <v>318</v>
      </c>
      <c r="D24" s="85" t="s">
        <v>357</v>
      </c>
      <c r="E24" s="86">
        <v>231.9</v>
      </c>
      <c r="F24" s="95">
        <f>43.647+226.909+46.183+4.12</f>
        <v>320.85899999999998</v>
      </c>
      <c r="G24" s="88">
        <v>299.7</v>
      </c>
      <c r="H24" s="88">
        <v>645.9</v>
      </c>
      <c r="I24" s="88">
        <v>971.6</v>
      </c>
      <c r="J24" s="87">
        <v>592.29999999999995</v>
      </c>
      <c r="K24" s="89">
        <v>600</v>
      </c>
      <c r="L24" s="89">
        <v>736.8</v>
      </c>
      <c r="M24" s="90">
        <v>696.9</v>
      </c>
      <c r="N24" s="90">
        <v>715.1</v>
      </c>
      <c r="O24" s="90">
        <v>680.7</v>
      </c>
      <c r="P24" s="90">
        <v>0</v>
      </c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>
        <f t="shared" si="3"/>
        <v>0</v>
      </c>
      <c r="AB24" s="90">
        <f t="shared" si="5"/>
        <v>0</v>
      </c>
      <c r="AC24" s="90">
        <f t="shared" si="6"/>
        <v>0</v>
      </c>
      <c r="AD24" s="90">
        <f t="shared" si="7"/>
        <v>0</v>
      </c>
      <c r="AE24" s="90" t="e">
        <f t="shared" si="4"/>
        <v>#DIV/0!</v>
      </c>
      <c r="AF24" s="91"/>
      <c r="AG24" s="91"/>
    </row>
    <row r="25" spans="1:33" ht="24" hidden="1" customHeight="1" x14ac:dyDescent="0.2">
      <c r="A25" s="94" t="s">
        <v>358</v>
      </c>
      <c r="B25" s="85" t="s">
        <v>325</v>
      </c>
      <c r="C25" s="85" t="s">
        <v>359</v>
      </c>
      <c r="D25" s="85" t="s">
        <v>331</v>
      </c>
      <c r="E25" s="86">
        <v>677.9</v>
      </c>
      <c r="F25" s="95">
        <f>64+98</f>
        <v>162</v>
      </c>
      <c r="G25" s="88">
        <v>64</v>
      </c>
      <c r="H25" s="88">
        <v>580</v>
      </c>
      <c r="I25" s="88">
        <v>291</v>
      </c>
      <c r="J25" s="87"/>
      <c r="K25" s="89"/>
      <c r="L25" s="96" t="e">
        <f>#REF!/$K$48*100</f>
        <v>#REF!</v>
      </c>
      <c r="M25" s="90"/>
      <c r="N25" s="81"/>
      <c r="O25" s="81"/>
      <c r="P25" s="81"/>
      <c r="Q25" s="90" t="e">
        <f>O25/#REF!*100</f>
        <v>#REF!</v>
      </c>
      <c r="R25" s="90"/>
      <c r="S25" s="90"/>
      <c r="T25" s="90"/>
      <c r="U25" s="90"/>
      <c r="V25" s="90"/>
      <c r="W25" s="90"/>
      <c r="X25" s="90"/>
      <c r="Y25" s="90"/>
      <c r="Z25" s="90"/>
      <c r="AA25" s="90">
        <f t="shared" si="3"/>
        <v>0</v>
      </c>
      <c r="AB25" s="90">
        <f t="shared" si="5"/>
        <v>0</v>
      </c>
      <c r="AC25" s="90">
        <f t="shared" si="6"/>
        <v>0</v>
      </c>
      <c r="AD25" s="90">
        <f t="shared" si="7"/>
        <v>0</v>
      </c>
      <c r="AE25" s="90" t="e">
        <f t="shared" si="4"/>
        <v>#DIV/0!</v>
      </c>
      <c r="AF25" s="91" t="e">
        <f>O25/N25*100</f>
        <v>#DIV/0!</v>
      </c>
      <c r="AG25" s="91" t="e">
        <f>#REF!-#REF!</f>
        <v>#REF!</v>
      </c>
    </row>
    <row r="26" spans="1:33" s="83" customFormat="1" ht="26.25" customHeight="1" x14ac:dyDescent="0.15">
      <c r="A26" s="79" t="s">
        <v>360</v>
      </c>
      <c r="B26" s="80" t="s">
        <v>352</v>
      </c>
      <c r="C26" s="80"/>
      <c r="D26" s="92">
        <f t="shared" ref="D26:I26" si="21">D27+D29+D28</f>
        <v>13595.323</v>
      </c>
      <c r="E26" s="92">
        <f t="shared" si="21"/>
        <v>7656.24</v>
      </c>
      <c r="F26" s="92">
        <f t="shared" si="21"/>
        <v>17347.534999999996</v>
      </c>
      <c r="G26" s="92">
        <f t="shared" si="21"/>
        <v>10485.200000000001</v>
      </c>
      <c r="H26" s="92">
        <f t="shared" si="21"/>
        <v>13044.199999999999</v>
      </c>
      <c r="I26" s="92">
        <f t="shared" si="21"/>
        <v>19496</v>
      </c>
      <c r="J26" s="81">
        <f>J27+J28+J29</f>
        <v>34636.700000000004</v>
      </c>
      <c r="K26" s="81">
        <f>K27+K28+K29</f>
        <v>11983.4</v>
      </c>
      <c r="L26" s="81">
        <f t="shared" ref="L26:AG26" si="22">L27+L28+L29</f>
        <v>12296.1</v>
      </c>
      <c r="M26" s="81">
        <f t="shared" si="22"/>
        <v>43615.899999999994</v>
      </c>
      <c r="N26" s="81">
        <f t="shared" si="22"/>
        <v>16776.599999999999</v>
      </c>
      <c r="O26" s="81">
        <f t="shared" si="22"/>
        <v>28399.9</v>
      </c>
      <c r="P26" s="81">
        <f t="shared" si="22"/>
        <v>17930.899999999998</v>
      </c>
      <c r="Q26" s="81">
        <f t="shared" si="22"/>
        <v>13465.099999999999</v>
      </c>
      <c r="R26" s="81">
        <f t="shared" si="22"/>
        <v>21837</v>
      </c>
      <c r="S26" s="81">
        <f t="shared" si="22"/>
        <v>3440.1</v>
      </c>
      <c r="T26" s="81">
        <f t="shared" si="22"/>
        <v>28901.3</v>
      </c>
      <c r="U26" s="81">
        <f t="shared" si="22"/>
        <v>26141.599999999999</v>
      </c>
      <c r="V26" s="81">
        <f t="shared" si="22"/>
        <v>9421.2999999999993</v>
      </c>
      <c r="W26" s="81">
        <f t="shared" si="22"/>
        <v>27784.300000000003</v>
      </c>
      <c r="X26" s="81">
        <f t="shared" si="22"/>
        <v>9668.9</v>
      </c>
      <c r="Y26" s="81">
        <f t="shared" si="22"/>
        <v>8043</v>
      </c>
      <c r="Z26" s="81">
        <f t="shared" si="22"/>
        <v>6343.2</v>
      </c>
      <c r="AA26" s="81">
        <f t="shared" si="3"/>
        <v>23.811515345252101</v>
      </c>
      <c r="AB26" s="81">
        <f t="shared" si="5"/>
        <v>13.770066422850372</v>
      </c>
      <c r="AC26" s="81">
        <f t="shared" si="6"/>
        <v>11.719245177449739</v>
      </c>
      <c r="AD26" s="81">
        <f t="shared" si="7"/>
        <v>9.0428019114309492</v>
      </c>
      <c r="AE26" s="81">
        <f t="shared" si="4"/>
        <v>11.902924781930224</v>
      </c>
      <c r="AF26" s="82">
        <f t="shared" si="22"/>
        <v>4117</v>
      </c>
      <c r="AG26" s="82">
        <f t="shared" si="22"/>
        <v>2685.8999999999996</v>
      </c>
    </row>
    <row r="27" spans="1:33" ht="15.75" customHeight="1" x14ac:dyDescent="0.2">
      <c r="A27" s="84" t="s">
        <v>361</v>
      </c>
      <c r="B27" s="85" t="s">
        <v>352</v>
      </c>
      <c r="C27" s="85" t="s">
        <v>316</v>
      </c>
      <c r="D27" s="85" t="s">
        <v>362</v>
      </c>
      <c r="E27" s="86">
        <v>4466.8999999999996</v>
      </c>
      <c r="F27" s="95">
        <f>3383.74</f>
        <v>3383.74</v>
      </c>
      <c r="G27" s="88">
        <v>2252.3000000000002</v>
      </c>
      <c r="H27" s="88">
        <v>4761.7</v>
      </c>
      <c r="I27" s="88">
        <v>3981</v>
      </c>
      <c r="J27" s="87">
        <v>4566.6000000000004</v>
      </c>
      <c r="K27" s="89">
        <v>3410.7</v>
      </c>
      <c r="L27" s="89">
        <v>823.2</v>
      </c>
      <c r="M27" s="90">
        <v>4769.1000000000004</v>
      </c>
      <c r="N27" s="90">
        <v>2011.1</v>
      </c>
      <c r="O27" s="90">
        <v>7749.6</v>
      </c>
      <c r="P27" s="90">
        <v>5180.5</v>
      </c>
      <c r="Q27" s="90">
        <v>1085.8</v>
      </c>
      <c r="R27" s="90">
        <v>2484.1999999999998</v>
      </c>
      <c r="S27" s="90">
        <v>87.5</v>
      </c>
      <c r="T27" s="90">
        <v>2484.1999999999998</v>
      </c>
      <c r="U27" s="90">
        <v>5313.9</v>
      </c>
      <c r="V27" s="90">
        <v>1598.8</v>
      </c>
      <c r="W27" s="90">
        <v>5397.8</v>
      </c>
      <c r="X27" s="90">
        <v>1094.5</v>
      </c>
      <c r="Y27" s="90">
        <v>1094.5</v>
      </c>
      <c r="Z27" s="90">
        <v>1094.5</v>
      </c>
      <c r="AA27" s="90">
        <f t="shared" si="3"/>
        <v>4.6259865294645461</v>
      </c>
      <c r="AB27" s="90">
        <f t="shared" si="5"/>
        <v>1.5587437764181791</v>
      </c>
      <c r="AC27" s="90">
        <f t="shared" si="6"/>
        <v>1.5947673562997315</v>
      </c>
      <c r="AD27" s="90">
        <f t="shared" si="7"/>
        <v>1.5603081555147518</v>
      </c>
      <c r="AE27" s="90">
        <f t="shared" si="4"/>
        <v>3.5222606875452867</v>
      </c>
      <c r="AF27" s="91">
        <v>1085.8</v>
      </c>
      <c r="AG27" s="91">
        <v>1085.8</v>
      </c>
    </row>
    <row r="28" spans="1:33" ht="15.75" customHeight="1" x14ac:dyDescent="0.2">
      <c r="A28" s="97" t="s">
        <v>363</v>
      </c>
      <c r="B28" s="85" t="s">
        <v>352</v>
      </c>
      <c r="C28" s="85" t="s">
        <v>322</v>
      </c>
      <c r="D28" s="85" t="s">
        <v>364</v>
      </c>
      <c r="E28" s="86">
        <v>1881.94</v>
      </c>
      <c r="F28" s="95">
        <f>595.401+6189.499+2264.229</f>
        <v>9049.128999999999</v>
      </c>
      <c r="G28" s="88">
        <v>4999.3</v>
      </c>
      <c r="H28" s="88">
        <v>5253.4</v>
      </c>
      <c r="I28" s="88">
        <v>8035.4</v>
      </c>
      <c r="J28" s="87">
        <v>26009.8</v>
      </c>
      <c r="K28" s="89">
        <v>1007.8</v>
      </c>
      <c r="L28" s="89">
        <v>449.8</v>
      </c>
      <c r="M28" s="90">
        <v>4230.7</v>
      </c>
      <c r="N28" s="90">
        <v>9338.6</v>
      </c>
      <c r="O28" s="90">
        <v>7785.1</v>
      </c>
      <c r="P28" s="90">
        <v>9517.7999999999993</v>
      </c>
      <c r="Q28" s="90">
        <v>9337.9</v>
      </c>
      <c r="R28" s="90">
        <v>10423.9</v>
      </c>
      <c r="S28" s="90">
        <v>2296</v>
      </c>
      <c r="T28" s="90">
        <v>10423.9</v>
      </c>
      <c r="U28" s="90">
        <v>5307.1</v>
      </c>
      <c r="V28" s="90">
        <v>5307</v>
      </c>
      <c r="W28" s="90">
        <v>6935.9</v>
      </c>
      <c r="X28" s="90">
        <v>5000</v>
      </c>
      <c r="Y28" s="90">
        <v>5000</v>
      </c>
      <c r="Z28" s="90">
        <v>5000</v>
      </c>
      <c r="AA28" s="90">
        <f t="shared" si="3"/>
        <v>5.9441587257240256</v>
      </c>
      <c r="AB28" s="90">
        <f t="shared" si="5"/>
        <v>7.1208029987125583</v>
      </c>
      <c r="AC28" s="90">
        <f t="shared" si="6"/>
        <v>7.2853693755127065</v>
      </c>
      <c r="AD28" s="90">
        <f t="shared" si="7"/>
        <v>7.1279495455219362</v>
      </c>
      <c r="AE28" s="90">
        <f t="shared" si="4"/>
        <v>22.026304933853933</v>
      </c>
      <c r="AF28" s="91">
        <v>221</v>
      </c>
      <c r="AG28" s="91">
        <v>221</v>
      </c>
    </row>
    <row r="29" spans="1:33" ht="15.75" customHeight="1" x14ac:dyDescent="0.2">
      <c r="A29" s="84" t="s">
        <v>365</v>
      </c>
      <c r="B29" s="85" t="s">
        <v>352</v>
      </c>
      <c r="C29" s="85" t="s">
        <v>317</v>
      </c>
      <c r="D29" s="85" t="s">
        <v>366</v>
      </c>
      <c r="E29" s="86">
        <v>1307.4000000000001</v>
      </c>
      <c r="F29" s="95">
        <f>625.621+390.945+12.4+200+95.76+18.64+1589.711+316.634+1664.955</f>
        <v>4914.6660000000002</v>
      </c>
      <c r="G29" s="88">
        <v>3233.6</v>
      </c>
      <c r="H29" s="88">
        <v>3029.1</v>
      </c>
      <c r="I29" s="88">
        <v>7479.6</v>
      </c>
      <c r="J29" s="87">
        <v>4060.3</v>
      </c>
      <c r="K29" s="89">
        <v>7564.9</v>
      </c>
      <c r="L29" s="89">
        <v>11023.1</v>
      </c>
      <c r="M29" s="90">
        <v>34616.1</v>
      </c>
      <c r="N29" s="90">
        <v>5426.9</v>
      </c>
      <c r="O29" s="90">
        <v>12865.2</v>
      </c>
      <c r="P29" s="90">
        <v>3232.6</v>
      </c>
      <c r="Q29" s="90">
        <v>3041.4</v>
      </c>
      <c r="R29" s="90">
        <v>8928.9</v>
      </c>
      <c r="S29" s="90">
        <v>1056.5999999999999</v>
      </c>
      <c r="T29" s="90">
        <v>15993.2</v>
      </c>
      <c r="U29" s="90">
        <v>15520.6</v>
      </c>
      <c r="V29" s="90">
        <v>2515.5</v>
      </c>
      <c r="W29" s="90">
        <v>15450.6</v>
      </c>
      <c r="X29" s="90">
        <v>3574.4</v>
      </c>
      <c r="Y29" s="90">
        <v>1948.5</v>
      </c>
      <c r="Z29" s="90">
        <v>248.7</v>
      </c>
      <c r="AA29" s="90">
        <f t="shared" si="3"/>
        <v>13.241370090063528</v>
      </c>
      <c r="AB29" s="90">
        <f t="shared" si="5"/>
        <v>5.0905196477196339</v>
      </c>
      <c r="AC29" s="90">
        <f t="shared" si="6"/>
        <v>2.8391084456373017</v>
      </c>
      <c r="AD29" s="90">
        <f t="shared" si="7"/>
        <v>0.35454421039426109</v>
      </c>
      <c r="AE29" s="90">
        <f t="shared" si="4"/>
        <v>6.6065577870594998</v>
      </c>
      <c r="AF29" s="91">
        <v>2810.2</v>
      </c>
      <c r="AG29" s="91">
        <v>1379.1</v>
      </c>
    </row>
    <row r="30" spans="1:33" s="83" customFormat="1" ht="15.75" customHeight="1" x14ac:dyDescent="0.15">
      <c r="A30" s="98" t="s">
        <v>367</v>
      </c>
      <c r="B30" s="99">
        <v>6</v>
      </c>
      <c r="C30" s="99"/>
      <c r="D30" s="80"/>
      <c r="E30" s="92"/>
      <c r="F30" s="100"/>
      <c r="G30" s="101"/>
      <c r="H30" s="101"/>
      <c r="I30" s="101"/>
      <c r="J30" s="102"/>
      <c r="K30" s="96">
        <f t="shared" ref="K30:M30" si="23">K31</f>
        <v>2.04</v>
      </c>
      <c r="L30" s="96">
        <f t="shared" si="23"/>
        <v>0</v>
      </c>
      <c r="M30" s="96">
        <f t="shared" si="23"/>
        <v>2.2000000000000002</v>
      </c>
      <c r="N30" s="81"/>
      <c r="O30" s="81">
        <f t="shared" ref="O30" si="24">O31</f>
        <v>1206</v>
      </c>
      <c r="P30" s="81">
        <f>P31</f>
        <v>3737.9</v>
      </c>
      <c r="Q30" s="81">
        <f t="shared" ref="Q30:AG30" si="25">Q31</f>
        <v>0</v>
      </c>
      <c r="R30" s="81">
        <f t="shared" si="25"/>
        <v>0</v>
      </c>
      <c r="S30" s="81">
        <f t="shared" si="25"/>
        <v>0</v>
      </c>
      <c r="T30" s="81">
        <f t="shared" si="25"/>
        <v>0</v>
      </c>
      <c r="U30" s="81">
        <f t="shared" si="25"/>
        <v>2088.8000000000002</v>
      </c>
      <c r="V30" s="81">
        <f t="shared" si="25"/>
        <v>1143.5999999999999</v>
      </c>
      <c r="W30" s="81">
        <f t="shared" si="25"/>
        <v>2088.8000000000002</v>
      </c>
      <c r="X30" s="81">
        <f t="shared" si="25"/>
        <v>0</v>
      </c>
      <c r="Y30" s="81">
        <f t="shared" si="25"/>
        <v>0</v>
      </c>
      <c r="Z30" s="81">
        <f t="shared" si="25"/>
        <v>0</v>
      </c>
      <c r="AA30" s="81">
        <f t="shared" si="3"/>
        <v>1.7901294347225805</v>
      </c>
      <c r="AB30" s="81">
        <f t="shared" si="5"/>
        <v>0</v>
      </c>
      <c r="AC30" s="81">
        <f t="shared" si="6"/>
        <v>0</v>
      </c>
      <c r="AD30" s="81">
        <f t="shared" si="7"/>
        <v>0</v>
      </c>
      <c r="AE30" s="81"/>
      <c r="AF30" s="82">
        <f t="shared" si="25"/>
        <v>0</v>
      </c>
      <c r="AG30" s="82">
        <f t="shared" si="25"/>
        <v>0</v>
      </c>
    </row>
    <row r="31" spans="1:33" ht="30" customHeight="1" x14ac:dyDescent="0.2">
      <c r="A31" s="103" t="s">
        <v>368</v>
      </c>
      <c r="B31" s="104">
        <v>6</v>
      </c>
      <c r="C31" s="104">
        <v>5</v>
      </c>
      <c r="D31" s="85"/>
      <c r="E31" s="86"/>
      <c r="F31" s="95"/>
      <c r="G31" s="88"/>
      <c r="H31" s="88"/>
      <c r="I31" s="88"/>
      <c r="J31" s="87"/>
      <c r="K31" s="89">
        <v>2.04</v>
      </c>
      <c r="L31" s="89"/>
      <c r="M31" s="90">
        <v>2.2000000000000002</v>
      </c>
      <c r="N31" s="90"/>
      <c r="O31" s="90">
        <v>1206</v>
      </c>
      <c r="P31" s="90">
        <v>3737.9</v>
      </c>
      <c r="Q31" s="90"/>
      <c r="R31" s="90"/>
      <c r="S31" s="90"/>
      <c r="T31" s="90"/>
      <c r="U31" s="90">
        <v>2088.8000000000002</v>
      </c>
      <c r="V31" s="90">
        <v>1143.5999999999999</v>
      </c>
      <c r="W31" s="90">
        <v>2088.8000000000002</v>
      </c>
      <c r="X31" s="90"/>
      <c r="Y31" s="90"/>
      <c r="Z31" s="90"/>
      <c r="AA31" s="90">
        <f t="shared" si="3"/>
        <v>1.7901294347225805</v>
      </c>
      <c r="AB31" s="90">
        <f t="shared" si="5"/>
        <v>0</v>
      </c>
      <c r="AC31" s="90">
        <f t="shared" si="6"/>
        <v>0</v>
      </c>
      <c r="AD31" s="90">
        <f t="shared" si="7"/>
        <v>0</v>
      </c>
      <c r="AE31" s="90"/>
      <c r="AF31" s="91"/>
      <c r="AG31" s="91"/>
    </row>
    <row r="32" spans="1:33" s="83" customFormat="1" ht="19.5" customHeight="1" x14ac:dyDescent="0.15">
      <c r="A32" s="79" t="s">
        <v>369</v>
      </c>
      <c r="B32" s="80" t="s">
        <v>330</v>
      </c>
      <c r="C32" s="80"/>
      <c r="D32" s="92" t="str">
        <f t="shared" ref="D32:J32" si="26">D34</f>
        <v>0</v>
      </c>
      <c r="E32" s="92">
        <f t="shared" si="26"/>
        <v>0</v>
      </c>
      <c r="F32" s="92">
        <f t="shared" si="26"/>
        <v>18</v>
      </c>
      <c r="G32" s="92">
        <f t="shared" si="26"/>
        <v>0</v>
      </c>
      <c r="H32" s="92">
        <f t="shared" si="26"/>
        <v>0</v>
      </c>
      <c r="I32" s="92">
        <f t="shared" si="26"/>
        <v>0</v>
      </c>
      <c r="J32" s="81">
        <f t="shared" si="26"/>
        <v>91.5</v>
      </c>
      <c r="K32" s="96"/>
      <c r="L32" s="96" t="e">
        <f>#REF!/$K$48*100</f>
        <v>#REF!</v>
      </c>
      <c r="M32" s="81"/>
      <c r="N32" s="81"/>
      <c r="O32" s="81"/>
      <c r="P32" s="81"/>
      <c r="Q32" s="81"/>
      <c r="R32" s="81">
        <f>R33</f>
        <v>64.599999999999994</v>
      </c>
      <c r="S32" s="81">
        <f t="shared" ref="S32:Z32" si="27">S33</f>
        <v>64.599999999999994</v>
      </c>
      <c r="T32" s="81">
        <f t="shared" si="27"/>
        <v>64.599999999999994</v>
      </c>
      <c r="U32" s="81">
        <f t="shared" si="27"/>
        <v>87.2</v>
      </c>
      <c r="V32" s="81">
        <f t="shared" si="27"/>
        <v>87.2</v>
      </c>
      <c r="W32" s="81">
        <f t="shared" si="27"/>
        <v>87.5</v>
      </c>
      <c r="X32" s="81">
        <f t="shared" si="27"/>
        <v>0</v>
      </c>
      <c r="Y32" s="81">
        <f t="shared" si="27"/>
        <v>0</v>
      </c>
      <c r="Z32" s="81">
        <f t="shared" si="27"/>
        <v>0</v>
      </c>
      <c r="AA32" s="81">
        <f t="shared" si="3"/>
        <v>7.4988665998767606E-2</v>
      </c>
      <c r="AB32" s="81">
        <f t="shared" si="5"/>
        <v>0</v>
      </c>
      <c r="AC32" s="81">
        <f t="shared" si="6"/>
        <v>0</v>
      </c>
      <c r="AD32" s="81">
        <f t="shared" si="7"/>
        <v>0</v>
      </c>
      <c r="AE32" s="81">
        <f t="shared" ref="AE32:AE48" si="28">S32/T32*100</f>
        <v>100</v>
      </c>
      <c r="AF32" s="82"/>
      <c r="AG32" s="82" t="e">
        <f>#REF!-#REF!</f>
        <v>#REF!</v>
      </c>
    </row>
    <row r="33" spans="1:33" ht="35.25" customHeight="1" x14ac:dyDescent="0.2">
      <c r="A33" s="84" t="s">
        <v>370</v>
      </c>
      <c r="B33" s="85" t="s">
        <v>330</v>
      </c>
      <c r="C33" s="85" t="s">
        <v>352</v>
      </c>
      <c r="D33" s="86"/>
      <c r="E33" s="86"/>
      <c r="F33" s="86"/>
      <c r="G33" s="86"/>
      <c r="H33" s="86"/>
      <c r="I33" s="86"/>
      <c r="J33" s="90"/>
      <c r="K33" s="89"/>
      <c r="L33" s="89"/>
      <c r="M33" s="90"/>
      <c r="N33" s="90"/>
      <c r="O33" s="90"/>
      <c r="P33" s="90"/>
      <c r="Q33" s="90"/>
      <c r="R33" s="90">
        <v>64.599999999999994</v>
      </c>
      <c r="S33" s="90">
        <v>64.599999999999994</v>
      </c>
      <c r="T33" s="90">
        <v>64.599999999999994</v>
      </c>
      <c r="U33" s="90">
        <v>87.2</v>
      </c>
      <c r="V33" s="90">
        <v>87.2</v>
      </c>
      <c r="W33" s="90">
        <v>87.5</v>
      </c>
      <c r="X33" s="90"/>
      <c r="Y33" s="90"/>
      <c r="Z33" s="90"/>
      <c r="AA33" s="90">
        <f t="shared" si="3"/>
        <v>7.4988665998767606E-2</v>
      </c>
      <c r="AB33" s="90">
        <f t="shared" si="5"/>
        <v>0</v>
      </c>
      <c r="AC33" s="90">
        <f t="shared" si="6"/>
        <v>0</v>
      </c>
      <c r="AD33" s="90">
        <f t="shared" si="7"/>
        <v>0</v>
      </c>
      <c r="AE33" s="90">
        <f t="shared" si="28"/>
        <v>100</v>
      </c>
      <c r="AF33" s="91"/>
      <c r="AG33" s="91"/>
    </row>
    <row r="34" spans="1:33" ht="25.5" hidden="1" customHeight="1" x14ac:dyDescent="0.2">
      <c r="A34" s="84" t="s">
        <v>371</v>
      </c>
      <c r="B34" s="85" t="s">
        <v>330</v>
      </c>
      <c r="C34" s="85" t="s">
        <v>330</v>
      </c>
      <c r="D34" s="85" t="s">
        <v>331</v>
      </c>
      <c r="E34" s="86">
        <v>0</v>
      </c>
      <c r="F34" s="95">
        <v>18</v>
      </c>
      <c r="G34" s="88">
        <v>0</v>
      </c>
      <c r="H34" s="88"/>
      <c r="I34" s="88"/>
      <c r="J34" s="87">
        <v>91.5</v>
      </c>
      <c r="K34" s="89"/>
      <c r="L34" s="96" t="e">
        <f>#REF!/$K$48*100</f>
        <v>#REF!</v>
      </c>
      <c r="M34" s="90"/>
      <c r="N34" s="81"/>
      <c r="O34" s="81"/>
      <c r="P34" s="81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>
        <f t="shared" si="3"/>
        <v>0</v>
      </c>
      <c r="AB34" s="90">
        <f t="shared" si="5"/>
        <v>0</v>
      </c>
      <c r="AC34" s="90">
        <f t="shared" si="6"/>
        <v>0</v>
      </c>
      <c r="AD34" s="90">
        <f t="shared" si="7"/>
        <v>0</v>
      </c>
      <c r="AE34" s="90" t="e">
        <f t="shared" si="28"/>
        <v>#DIV/0!</v>
      </c>
      <c r="AF34" s="91" t="e">
        <f>O34/N34*100</f>
        <v>#DIV/0!</v>
      </c>
      <c r="AG34" s="91" t="e">
        <f>#REF!-#REF!</f>
        <v>#REF!</v>
      </c>
    </row>
    <row r="35" spans="1:33" s="83" customFormat="1" ht="15.75" customHeight="1" x14ac:dyDescent="0.15">
      <c r="A35" s="79" t="s">
        <v>372</v>
      </c>
      <c r="B35" s="80" t="s">
        <v>354</v>
      </c>
      <c r="C35" s="80"/>
      <c r="D35" s="92">
        <f t="shared" ref="D35:O35" si="29">D36+D37+D38</f>
        <v>5961.8180000000002</v>
      </c>
      <c r="E35" s="92">
        <f t="shared" si="29"/>
        <v>7382.8980000000001</v>
      </c>
      <c r="F35" s="92">
        <f t="shared" si="29"/>
        <v>6075.3189999999995</v>
      </c>
      <c r="G35" s="92">
        <f t="shared" si="29"/>
        <v>7261.7</v>
      </c>
      <c r="H35" s="92">
        <f t="shared" si="29"/>
        <v>7232.1</v>
      </c>
      <c r="I35" s="92">
        <f t="shared" si="29"/>
        <v>7412.7</v>
      </c>
      <c r="J35" s="81">
        <f t="shared" si="29"/>
        <v>7043.3</v>
      </c>
      <c r="K35" s="81">
        <f t="shared" si="29"/>
        <v>7111.8</v>
      </c>
      <c r="L35" s="81">
        <f t="shared" si="29"/>
        <v>7254.3</v>
      </c>
      <c r="M35" s="81">
        <f t="shared" si="29"/>
        <v>6875.5</v>
      </c>
      <c r="N35" s="81">
        <f t="shared" si="29"/>
        <v>6836.3</v>
      </c>
      <c r="O35" s="81">
        <f t="shared" si="29"/>
        <v>7807.2</v>
      </c>
      <c r="P35" s="81">
        <f>P36+P38</f>
        <v>9669.9</v>
      </c>
      <c r="Q35" s="81">
        <f>Q36+Q38</f>
        <v>9301.5</v>
      </c>
      <c r="R35" s="81">
        <f t="shared" ref="R35:Z35" si="30">R36+R38</f>
        <v>9342.7000000000007</v>
      </c>
      <c r="S35" s="81">
        <f t="shared" si="30"/>
        <v>3568.2</v>
      </c>
      <c r="T35" s="81">
        <f t="shared" si="30"/>
        <v>9536.7000000000007</v>
      </c>
      <c r="U35" s="81">
        <f t="shared" si="30"/>
        <v>10704.1</v>
      </c>
      <c r="V35" s="81">
        <f t="shared" si="30"/>
        <v>7545.1</v>
      </c>
      <c r="W35" s="81">
        <f t="shared" si="30"/>
        <v>10704.1</v>
      </c>
      <c r="X35" s="81">
        <f t="shared" si="30"/>
        <v>11088.8</v>
      </c>
      <c r="Y35" s="81">
        <f t="shared" si="30"/>
        <v>11088.8</v>
      </c>
      <c r="Z35" s="81">
        <f t="shared" si="30"/>
        <v>11088.8</v>
      </c>
      <c r="AA35" s="81">
        <f t="shared" si="3"/>
        <v>9.1735563396275239</v>
      </c>
      <c r="AB35" s="81">
        <f t="shared" si="5"/>
        <v>15.792232058424762</v>
      </c>
      <c r="AC35" s="81">
        <f t="shared" si="6"/>
        <v>16.157200786237059</v>
      </c>
      <c r="AD35" s="81">
        <f t="shared" si="7"/>
        <v>15.808081384076727</v>
      </c>
      <c r="AE35" s="81">
        <f t="shared" si="28"/>
        <v>37.415458177356939</v>
      </c>
      <c r="AF35" s="82">
        <f t="shared" ref="AF35:AG35" si="31">AF36+AF38</f>
        <v>9300.1</v>
      </c>
      <c r="AG35" s="82">
        <f t="shared" si="31"/>
        <v>9298.6</v>
      </c>
    </row>
    <row r="36" spans="1:33" ht="18" customHeight="1" x14ac:dyDescent="0.2">
      <c r="A36" s="84" t="s">
        <v>373</v>
      </c>
      <c r="B36" s="85" t="s">
        <v>354</v>
      </c>
      <c r="C36" s="85" t="s">
        <v>316</v>
      </c>
      <c r="D36" s="85" t="s">
        <v>374</v>
      </c>
      <c r="E36" s="86">
        <v>6601.6</v>
      </c>
      <c r="F36" s="95">
        <f>270+2.366+144.033+130.81+7.7+5520.41</f>
        <v>6075.3189999999995</v>
      </c>
      <c r="G36" s="88">
        <v>7248.7</v>
      </c>
      <c r="H36" s="88">
        <v>7232.1</v>
      </c>
      <c r="I36" s="88">
        <v>7412.7</v>
      </c>
      <c r="J36" s="87">
        <v>7003.3</v>
      </c>
      <c r="K36" s="89">
        <v>7111.8</v>
      </c>
      <c r="L36" s="89">
        <v>7254.3</v>
      </c>
      <c r="M36" s="90">
        <v>6875.5</v>
      </c>
      <c r="N36" s="90">
        <v>6514.8</v>
      </c>
      <c r="O36" s="90">
        <v>7452.2</v>
      </c>
      <c r="P36" s="90">
        <v>9218.9</v>
      </c>
      <c r="Q36" s="90">
        <v>8927.5</v>
      </c>
      <c r="R36" s="90">
        <v>8968.7000000000007</v>
      </c>
      <c r="S36" s="90">
        <v>3194.2</v>
      </c>
      <c r="T36" s="90">
        <v>9162.7000000000007</v>
      </c>
      <c r="U36" s="90">
        <v>10280.1</v>
      </c>
      <c r="V36" s="90">
        <v>7121.1</v>
      </c>
      <c r="W36" s="90">
        <v>10280.1</v>
      </c>
      <c r="X36" s="90">
        <v>10720.3</v>
      </c>
      <c r="Y36" s="90">
        <v>10720.3</v>
      </c>
      <c r="Z36" s="90">
        <v>10720.3</v>
      </c>
      <c r="AA36" s="90">
        <f t="shared" si="3"/>
        <v>8.8101826895306381</v>
      </c>
      <c r="AB36" s="90">
        <f t="shared" si="5"/>
        <v>15.267428877419647</v>
      </c>
      <c r="AC36" s="90">
        <f t="shared" si="6"/>
        <v>15.620269063261775</v>
      </c>
      <c r="AD36" s="90">
        <f t="shared" si="7"/>
        <v>15.282751502571761</v>
      </c>
      <c r="AE36" s="90">
        <f t="shared" si="28"/>
        <v>34.860903445490955</v>
      </c>
      <c r="AF36" s="91">
        <v>8926.1</v>
      </c>
      <c r="AG36" s="91">
        <v>8924.6</v>
      </c>
    </row>
    <row r="37" spans="1:33" ht="15.75" hidden="1" customHeight="1" x14ac:dyDescent="0.2">
      <c r="A37" s="94" t="s">
        <v>375</v>
      </c>
      <c r="B37" s="85" t="s">
        <v>354</v>
      </c>
      <c r="C37" s="85" t="s">
        <v>322</v>
      </c>
      <c r="D37" s="85" t="s">
        <v>376</v>
      </c>
      <c r="E37" s="86">
        <v>208.09800000000001</v>
      </c>
      <c r="F37" s="95">
        <v>0</v>
      </c>
      <c r="G37" s="88"/>
      <c r="H37" s="88"/>
      <c r="I37" s="88"/>
      <c r="J37" s="87"/>
      <c r="K37" s="89"/>
      <c r="L37" s="89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>
        <f t="shared" si="3"/>
        <v>0</v>
      </c>
      <c r="AB37" s="90">
        <f t="shared" si="5"/>
        <v>0</v>
      </c>
      <c r="AC37" s="90">
        <f t="shared" si="6"/>
        <v>0</v>
      </c>
      <c r="AD37" s="90">
        <f t="shared" si="7"/>
        <v>0</v>
      </c>
      <c r="AE37" s="90" t="e">
        <f t="shared" si="28"/>
        <v>#DIV/0!</v>
      </c>
      <c r="AF37" s="91"/>
      <c r="AG37" s="91"/>
    </row>
    <row r="38" spans="1:33" ht="22.5" customHeight="1" x14ac:dyDescent="0.2">
      <c r="A38" s="94" t="s">
        <v>377</v>
      </c>
      <c r="B38" s="85" t="s">
        <v>354</v>
      </c>
      <c r="C38" s="85" t="s">
        <v>325</v>
      </c>
      <c r="D38" s="85" t="s">
        <v>331</v>
      </c>
      <c r="E38" s="86">
        <v>573.20000000000005</v>
      </c>
      <c r="F38" s="95">
        <v>0</v>
      </c>
      <c r="G38" s="88">
        <v>13</v>
      </c>
      <c r="H38" s="88"/>
      <c r="I38" s="88"/>
      <c r="J38" s="87">
        <v>40</v>
      </c>
      <c r="K38" s="89"/>
      <c r="L38" s="89"/>
      <c r="M38" s="90"/>
      <c r="N38" s="90">
        <v>321.5</v>
      </c>
      <c r="O38" s="90">
        <v>355</v>
      </c>
      <c r="P38" s="90">
        <v>451</v>
      </c>
      <c r="Q38" s="90">
        <v>374</v>
      </c>
      <c r="R38" s="90">
        <v>374</v>
      </c>
      <c r="S38" s="90">
        <v>374</v>
      </c>
      <c r="T38" s="90">
        <v>374</v>
      </c>
      <c r="U38" s="90">
        <v>424</v>
      </c>
      <c r="V38" s="90">
        <v>424</v>
      </c>
      <c r="W38" s="90">
        <v>424</v>
      </c>
      <c r="X38" s="90">
        <v>368.5</v>
      </c>
      <c r="Y38" s="90">
        <v>368.5</v>
      </c>
      <c r="Z38" s="90">
        <v>368.5</v>
      </c>
      <c r="AA38" s="90">
        <f t="shared" si="3"/>
        <v>0.36337365009688533</v>
      </c>
      <c r="AB38" s="90">
        <f t="shared" si="5"/>
        <v>0.52480318100511558</v>
      </c>
      <c r="AC38" s="90">
        <f t="shared" si="6"/>
        <v>0.53693172297528646</v>
      </c>
      <c r="AD38" s="90">
        <f t="shared" si="7"/>
        <v>0.52532988150496662</v>
      </c>
      <c r="AE38" s="90">
        <f t="shared" si="28"/>
        <v>100</v>
      </c>
      <c r="AF38" s="91">
        <v>374</v>
      </c>
      <c r="AG38" s="91">
        <v>374</v>
      </c>
    </row>
    <row r="39" spans="1:33" s="83" customFormat="1" ht="15.75" customHeight="1" x14ac:dyDescent="0.15">
      <c r="A39" s="105" t="s">
        <v>378</v>
      </c>
      <c r="B39" s="80" t="s">
        <v>343</v>
      </c>
      <c r="C39" s="80"/>
      <c r="D39" s="80"/>
      <c r="E39" s="92"/>
      <c r="F39" s="100"/>
      <c r="G39" s="101"/>
      <c r="H39" s="101"/>
      <c r="I39" s="101"/>
      <c r="J39" s="102"/>
      <c r="K39" s="96"/>
      <c r="L39" s="96"/>
      <c r="M39" s="96">
        <f>M40</f>
        <v>158</v>
      </c>
      <c r="N39" s="81"/>
      <c r="O39" s="81"/>
      <c r="P39" s="81">
        <f>P40</f>
        <v>589.9</v>
      </c>
      <c r="Q39" s="81"/>
      <c r="R39" s="81"/>
      <c r="S39" s="81"/>
      <c r="T39" s="81">
        <f>T40</f>
        <v>840</v>
      </c>
      <c r="U39" s="81">
        <f>U40</f>
        <v>840</v>
      </c>
      <c r="V39" s="81">
        <f>V40</f>
        <v>0</v>
      </c>
      <c r="W39" s="81">
        <f t="shared" ref="W39:Z39" si="32">W40</f>
        <v>840</v>
      </c>
      <c r="X39" s="81">
        <f t="shared" si="32"/>
        <v>840</v>
      </c>
      <c r="Y39" s="81">
        <f t="shared" si="32"/>
        <v>840</v>
      </c>
      <c r="Z39" s="81">
        <f t="shared" si="32"/>
        <v>840</v>
      </c>
      <c r="AA39" s="81">
        <f t="shared" si="3"/>
        <v>0.719891193588169</v>
      </c>
      <c r="AB39" s="81">
        <f t="shared" si="5"/>
        <v>1.1962949037837098</v>
      </c>
      <c r="AC39" s="81">
        <f t="shared" si="6"/>
        <v>1.2239420550861346</v>
      </c>
      <c r="AD39" s="81">
        <f t="shared" si="7"/>
        <v>1.1974955236476852</v>
      </c>
      <c r="AE39" s="81">
        <f t="shared" si="28"/>
        <v>0</v>
      </c>
      <c r="AF39" s="82"/>
      <c r="AG39" s="82"/>
    </row>
    <row r="40" spans="1:33" ht="33.75" x14ac:dyDescent="0.2">
      <c r="A40" s="94" t="s">
        <v>379</v>
      </c>
      <c r="B40" s="85" t="s">
        <v>343</v>
      </c>
      <c r="C40" s="85" t="s">
        <v>330</v>
      </c>
      <c r="D40" s="85"/>
      <c r="E40" s="86"/>
      <c r="F40" s="95"/>
      <c r="G40" s="88"/>
      <c r="H40" s="88"/>
      <c r="I40" s="88"/>
      <c r="J40" s="87"/>
      <c r="K40" s="89"/>
      <c r="L40" s="89"/>
      <c r="M40" s="90">
        <v>158</v>
      </c>
      <c r="N40" s="90"/>
      <c r="O40" s="90"/>
      <c r="P40" s="90">
        <v>589.9</v>
      </c>
      <c r="Q40" s="90"/>
      <c r="R40" s="90"/>
      <c r="S40" s="90"/>
      <c r="T40" s="90">
        <v>840</v>
      </c>
      <c r="U40" s="90">
        <v>840</v>
      </c>
      <c r="V40" s="90"/>
      <c r="W40" s="90">
        <v>840</v>
      </c>
      <c r="X40" s="90">
        <v>840</v>
      </c>
      <c r="Y40" s="90">
        <v>840</v>
      </c>
      <c r="Z40" s="90">
        <v>840</v>
      </c>
      <c r="AA40" s="90">
        <f t="shared" si="3"/>
        <v>0.719891193588169</v>
      </c>
      <c r="AB40" s="90">
        <f t="shared" si="5"/>
        <v>1.1962949037837098</v>
      </c>
      <c r="AC40" s="90">
        <f t="shared" si="6"/>
        <v>1.2239420550861346</v>
      </c>
      <c r="AD40" s="90">
        <f t="shared" si="7"/>
        <v>1.1974955236476852</v>
      </c>
      <c r="AE40" s="90">
        <f t="shared" si="28"/>
        <v>0</v>
      </c>
      <c r="AF40" s="91"/>
      <c r="AG40" s="91" t="e">
        <f>#REF!-#REF!</f>
        <v>#REF!</v>
      </c>
    </row>
    <row r="41" spans="1:33" s="83" customFormat="1" ht="15.75" customHeight="1" x14ac:dyDescent="0.15">
      <c r="A41" s="105" t="s">
        <v>380</v>
      </c>
      <c r="B41" s="80" t="s">
        <v>318</v>
      </c>
      <c r="C41" s="80"/>
      <c r="D41" s="81">
        <f t="shared" ref="D41:O41" si="33">D42</f>
        <v>0</v>
      </c>
      <c r="E41" s="81">
        <f t="shared" si="33"/>
        <v>0</v>
      </c>
      <c r="F41" s="92">
        <f t="shared" si="33"/>
        <v>0</v>
      </c>
      <c r="G41" s="92">
        <f t="shared" si="33"/>
        <v>42.4</v>
      </c>
      <c r="H41" s="92">
        <f t="shared" si="33"/>
        <v>132.9</v>
      </c>
      <c r="I41" s="92">
        <f t="shared" si="33"/>
        <v>123.2</v>
      </c>
      <c r="J41" s="81">
        <f t="shared" si="33"/>
        <v>137.69999999999999</v>
      </c>
      <c r="K41" s="81">
        <f t="shared" si="33"/>
        <v>197</v>
      </c>
      <c r="L41" s="81">
        <f t="shared" si="33"/>
        <v>240</v>
      </c>
      <c r="M41" s="81">
        <f t="shared" si="33"/>
        <v>240</v>
      </c>
      <c r="N41" s="81">
        <f t="shared" si="33"/>
        <v>240</v>
      </c>
      <c r="O41" s="81">
        <f t="shared" si="33"/>
        <v>240</v>
      </c>
      <c r="P41" s="81">
        <f>P42</f>
        <v>702.7</v>
      </c>
      <c r="Q41" s="81">
        <f>Q42</f>
        <v>240</v>
      </c>
      <c r="R41" s="81">
        <f t="shared" ref="R41:Z41" si="34">R42</f>
        <v>336</v>
      </c>
      <c r="S41" s="81">
        <f t="shared" si="34"/>
        <v>214.8</v>
      </c>
      <c r="T41" s="81">
        <f t="shared" si="34"/>
        <v>446.6</v>
      </c>
      <c r="U41" s="81">
        <f t="shared" si="34"/>
        <v>860</v>
      </c>
      <c r="V41" s="81">
        <f t="shared" si="34"/>
        <v>644.5</v>
      </c>
      <c r="W41" s="81">
        <f t="shared" si="34"/>
        <v>860</v>
      </c>
      <c r="X41" s="81">
        <f t="shared" si="34"/>
        <v>336</v>
      </c>
      <c r="Y41" s="81">
        <f t="shared" si="34"/>
        <v>336</v>
      </c>
      <c r="Z41" s="81">
        <f t="shared" si="34"/>
        <v>336</v>
      </c>
      <c r="AA41" s="81">
        <f t="shared" si="3"/>
        <v>0.73703146010217302</v>
      </c>
      <c r="AB41" s="81">
        <f t="shared" si="5"/>
        <v>0.47851796151348391</v>
      </c>
      <c r="AC41" s="81">
        <f t="shared" si="6"/>
        <v>0.48957682203445385</v>
      </c>
      <c r="AD41" s="81">
        <f t="shared" si="7"/>
        <v>0.47899820945907412</v>
      </c>
      <c r="AE41" s="81">
        <f t="shared" si="28"/>
        <v>48.096730855351545</v>
      </c>
      <c r="AF41" s="82">
        <f t="shared" ref="AF41:AG41" si="35">AF42</f>
        <v>240</v>
      </c>
      <c r="AG41" s="82">
        <f t="shared" si="35"/>
        <v>240</v>
      </c>
    </row>
    <row r="42" spans="1:33" ht="15.75" customHeight="1" x14ac:dyDescent="0.2">
      <c r="A42" s="94" t="s">
        <v>381</v>
      </c>
      <c r="B42" s="85" t="s">
        <v>318</v>
      </c>
      <c r="C42" s="85" t="s">
        <v>316</v>
      </c>
      <c r="D42" s="106">
        <v>0</v>
      </c>
      <c r="E42" s="106">
        <v>0</v>
      </c>
      <c r="F42" s="95">
        <v>0</v>
      </c>
      <c r="G42" s="88">
        <v>42.4</v>
      </c>
      <c r="H42" s="88">
        <v>132.9</v>
      </c>
      <c r="I42" s="88">
        <v>123.2</v>
      </c>
      <c r="J42" s="87">
        <v>137.69999999999999</v>
      </c>
      <c r="K42" s="89">
        <v>197</v>
      </c>
      <c r="L42" s="89">
        <v>240</v>
      </c>
      <c r="M42" s="90">
        <v>240</v>
      </c>
      <c r="N42" s="90">
        <v>240</v>
      </c>
      <c r="O42" s="90">
        <v>240</v>
      </c>
      <c r="P42" s="90">
        <v>702.7</v>
      </c>
      <c r="Q42" s="90">
        <v>240</v>
      </c>
      <c r="R42" s="90">
        <v>336</v>
      </c>
      <c r="S42" s="90">
        <v>214.8</v>
      </c>
      <c r="T42" s="90">
        <v>446.6</v>
      </c>
      <c r="U42" s="90">
        <v>860</v>
      </c>
      <c r="V42" s="90">
        <v>644.5</v>
      </c>
      <c r="W42" s="90">
        <v>860</v>
      </c>
      <c r="X42" s="90">
        <v>336</v>
      </c>
      <c r="Y42" s="90">
        <v>336</v>
      </c>
      <c r="Z42" s="90">
        <v>336</v>
      </c>
      <c r="AA42" s="90">
        <f t="shared" si="3"/>
        <v>0.73703146010217302</v>
      </c>
      <c r="AB42" s="90">
        <f t="shared" si="5"/>
        <v>0.47851796151348391</v>
      </c>
      <c r="AC42" s="90">
        <f t="shared" si="6"/>
        <v>0.48957682203445385</v>
      </c>
      <c r="AD42" s="90">
        <f t="shared" si="7"/>
        <v>0.47899820945907412</v>
      </c>
      <c r="AE42" s="90">
        <f t="shared" si="28"/>
        <v>48.096730855351545</v>
      </c>
      <c r="AF42" s="91">
        <v>240</v>
      </c>
      <c r="AG42" s="91">
        <v>240</v>
      </c>
    </row>
    <row r="43" spans="1:33" s="83" customFormat="1" ht="27.75" customHeight="1" x14ac:dyDescent="0.15">
      <c r="A43" s="79" t="s">
        <v>382</v>
      </c>
      <c r="B43" s="80" t="s">
        <v>333</v>
      </c>
      <c r="C43" s="80"/>
      <c r="D43" s="107">
        <f t="shared" ref="D43:K43" si="36">D44+D45</f>
        <v>34.375999999999998</v>
      </c>
      <c r="E43" s="107">
        <f t="shared" si="36"/>
        <v>103.78</v>
      </c>
      <c r="F43" s="92">
        <f t="shared" si="36"/>
        <v>102</v>
      </c>
      <c r="G43" s="92">
        <f t="shared" si="36"/>
        <v>145</v>
      </c>
      <c r="H43" s="92">
        <f t="shared" si="36"/>
        <v>102</v>
      </c>
      <c r="I43" s="92">
        <f t="shared" si="36"/>
        <v>99</v>
      </c>
      <c r="J43" s="81">
        <f t="shared" si="36"/>
        <v>95</v>
      </c>
      <c r="K43" s="81">
        <f t="shared" si="36"/>
        <v>94</v>
      </c>
      <c r="L43" s="81">
        <f>L44</f>
        <v>68</v>
      </c>
      <c r="M43" s="81">
        <f t="shared" ref="M43:P43" si="37">M44+M45</f>
        <v>68</v>
      </c>
      <c r="N43" s="81">
        <f t="shared" si="37"/>
        <v>67</v>
      </c>
      <c r="O43" s="81">
        <f t="shared" si="37"/>
        <v>67</v>
      </c>
      <c r="P43" s="81">
        <f t="shared" si="37"/>
        <v>16330.2</v>
      </c>
      <c r="Q43" s="81">
        <f>Q44+Q45</f>
        <v>64.599999999999994</v>
      </c>
      <c r="R43" s="81">
        <f t="shared" ref="R43:Z43" si="38">R44+R45</f>
        <v>64.599999999999994</v>
      </c>
      <c r="S43" s="81">
        <f t="shared" si="38"/>
        <v>22</v>
      </c>
      <c r="T43" s="81">
        <f t="shared" si="38"/>
        <v>10064</v>
      </c>
      <c r="U43" s="81">
        <f t="shared" si="38"/>
        <v>10064</v>
      </c>
      <c r="V43" s="81">
        <f t="shared" si="38"/>
        <v>53.6</v>
      </c>
      <c r="W43" s="81">
        <f t="shared" si="38"/>
        <v>10064</v>
      </c>
      <c r="X43" s="81">
        <f t="shared" si="38"/>
        <v>64.8</v>
      </c>
      <c r="Y43" s="81">
        <f t="shared" si="38"/>
        <v>64.8</v>
      </c>
      <c r="Z43" s="81">
        <f t="shared" si="38"/>
        <v>64.8</v>
      </c>
      <c r="AA43" s="81">
        <f t="shared" si="3"/>
        <v>8.624982109846826</v>
      </c>
      <c r="AB43" s="81">
        <f t="shared" si="5"/>
        <v>9.2285606863314759E-2</v>
      </c>
      <c r="AC43" s="81">
        <f t="shared" si="6"/>
        <v>9.4418387106644672E-2</v>
      </c>
      <c r="AD43" s="81">
        <f t="shared" si="7"/>
        <v>9.2378226109964282E-2</v>
      </c>
      <c r="AE43" s="81">
        <f t="shared" si="28"/>
        <v>0.21860095389507153</v>
      </c>
      <c r="AF43" s="82">
        <f>AF44+AF45</f>
        <v>64.599999999999994</v>
      </c>
      <c r="AG43" s="82">
        <f>AG44+AG45</f>
        <v>64.599999999999994</v>
      </c>
    </row>
    <row r="44" spans="1:33" ht="15" hidden="1" customHeight="1" x14ac:dyDescent="0.2">
      <c r="A44" s="84" t="s">
        <v>383</v>
      </c>
      <c r="B44" s="85" t="s">
        <v>333</v>
      </c>
      <c r="C44" s="85" t="s">
        <v>316</v>
      </c>
      <c r="D44" s="85" t="s">
        <v>384</v>
      </c>
      <c r="E44" s="86">
        <v>88.78</v>
      </c>
      <c r="F44" s="95">
        <v>77</v>
      </c>
      <c r="G44" s="88">
        <v>145</v>
      </c>
      <c r="H44" s="88">
        <v>102</v>
      </c>
      <c r="I44" s="88">
        <v>99</v>
      </c>
      <c r="J44" s="87">
        <v>95</v>
      </c>
      <c r="K44" s="89">
        <v>94</v>
      </c>
      <c r="L44" s="89">
        <v>68</v>
      </c>
      <c r="M44" s="90">
        <v>68</v>
      </c>
      <c r="N44" s="90">
        <v>67</v>
      </c>
      <c r="O44" s="90">
        <v>67</v>
      </c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>
        <f t="shared" si="3"/>
        <v>0</v>
      </c>
      <c r="AB44" s="90">
        <f t="shared" si="5"/>
        <v>0</v>
      </c>
      <c r="AC44" s="90">
        <f t="shared" si="6"/>
        <v>0</v>
      </c>
      <c r="AD44" s="90">
        <f t="shared" si="7"/>
        <v>0</v>
      </c>
      <c r="AE44" s="90" t="e">
        <f t="shared" si="28"/>
        <v>#DIV/0!</v>
      </c>
      <c r="AF44" s="91"/>
      <c r="AG44" s="91"/>
    </row>
    <row r="45" spans="1:33" ht="15.75" customHeight="1" x14ac:dyDescent="0.2">
      <c r="A45" s="108" t="s">
        <v>385</v>
      </c>
      <c r="B45" s="85" t="s">
        <v>333</v>
      </c>
      <c r="C45" s="85" t="s">
        <v>322</v>
      </c>
      <c r="D45" s="85" t="s">
        <v>331</v>
      </c>
      <c r="E45" s="86">
        <v>15</v>
      </c>
      <c r="F45" s="95">
        <v>25</v>
      </c>
      <c r="G45" s="88"/>
      <c r="H45" s="88"/>
      <c r="I45" s="88"/>
      <c r="J45" s="87"/>
      <c r="K45" s="89"/>
      <c r="L45" s="89" t="e">
        <f>#REF!/$K$48*100</f>
        <v>#REF!</v>
      </c>
      <c r="M45" s="90"/>
      <c r="N45" s="90"/>
      <c r="O45" s="90"/>
      <c r="P45" s="90">
        <v>16330.2</v>
      </c>
      <c r="Q45" s="90">
        <v>64.599999999999994</v>
      </c>
      <c r="R45" s="90">
        <v>64.599999999999994</v>
      </c>
      <c r="S45" s="90">
        <v>22</v>
      </c>
      <c r="T45" s="90">
        <v>10064</v>
      </c>
      <c r="U45" s="90">
        <v>10064</v>
      </c>
      <c r="V45" s="90">
        <v>53.6</v>
      </c>
      <c r="W45" s="90">
        <v>10064</v>
      </c>
      <c r="X45" s="90">
        <v>64.8</v>
      </c>
      <c r="Y45" s="90">
        <v>64.8</v>
      </c>
      <c r="Z45" s="90">
        <v>64.8</v>
      </c>
      <c r="AA45" s="90">
        <f t="shared" si="3"/>
        <v>8.624982109846826</v>
      </c>
      <c r="AB45" s="90">
        <f t="shared" si="5"/>
        <v>9.2285606863314759E-2</v>
      </c>
      <c r="AC45" s="90">
        <f t="shared" si="6"/>
        <v>9.4418387106644672E-2</v>
      </c>
      <c r="AD45" s="90">
        <f t="shared" si="7"/>
        <v>9.2378226109964282E-2</v>
      </c>
      <c r="AE45" s="90">
        <f t="shared" si="28"/>
        <v>0.21860095389507153</v>
      </c>
      <c r="AF45" s="91">
        <v>64.599999999999994</v>
      </c>
      <c r="AG45" s="91">
        <v>64.599999999999994</v>
      </c>
    </row>
    <row r="46" spans="1:33" ht="15.75" hidden="1" customHeight="1" x14ac:dyDescent="0.2">
      <c r="A46" s="109" t="s">
        <v>386</v>
      </c>
      <c r="B46" s="110">
        <v>14</v>
      </c>
      <c r="C46" s="85"/>
      <c r="D46" s="86" t="str">
        <f>D47</f>
        <v>0</v>
      </c>
      <c r="E46" s="86">
        <f>E47</f>
        <v>59.262999999999998</v>
      </c>
      <c r="F46" s="86">
        <f>F47</f>
        <v>1942.8</v>
      </c>
      <c r="G46" s="86">
        <f>G47</f>
        <v>863.7</v>
      </c>
      <c r="H46" s="86"/>
      <c r="I46" s="86"/>
      <c r="J46" s="90" t="e">
        <f>J47+J48+#REF!+#REF!+#REF!</f>
        <v>#REF!</v>
      </c>
      <c r="K46" s="89"/>
      <c r="L46" s="96" t="e">
        <f>#REF!/$K$48*100</f>
        <v>#REF!</v>
      </c>
      <c r="M46" s="90"/>
      <c r="N46" s="90"/>
      <c r="O46" s="81"/>
      <c r="P46" s="81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>
        <f t="shared" si="3"/>
        <v>0</v>
      </c>
      <c r="AB46" s="90">
        <f t="shared" si="5"/>
        <v>0</v>
      </c>
      <c r="AC46" s="90">
        <f t="shared" si="6"/>
        <v>0</v>
      </c>
      <c r="AD46" s="90">
        <f t="shared" si="7"/>
        <v>0</v>
      </c>
      <c r="AE46" s="90" t="e">
        <f t="shared" si="28"/>
        <v>#DIV/0!</v>
      </c>
      <c r="AF46" s="91"/>
      <c r="AG46" s="91"/>
    </row>
    <row r="47" spans="1:33" ht="15.75" hidden="1" customHeight="1" x14ac:dyDescent="0.2">
      <c r="A47" s="111" t="s">
        <v>387</v>
      </c>
      <c r="B47" s="110">
        <v>14</v>
      </c>
      <c r="C47" s="85" t="s">
        <v>317</v>
      </c>
      <c r="D47" s="85" t="s">
        <v>331</v>
      </c>
      <c r="E47" s="86">
        <v>59.262999999999998</v>
      </c>
      <c r="F47" s="95">
        <v>1942.8</v>
      </c>
      <c r="G47" s="88">
        <v>863.7</v>
      </c>
      <c r="H47" s="88"/>
      <c r="I47" s="88"/>
      <c r="J47" s="87" t="e">
        <f>J48+#REF!+#REF!+#REF!+#REF!</f>
        <v>#REF!</v>
      </c>
      <c r="K47" s="89"/>
      <c r="L47" s="96" t="e">
        <f>#REF!/$K$48*100</f>
        <v>#REF!</v>
      </c>
      <c r="M47" s="90"/>
      <c r="N47" s="90"/>
      <c r="O47" s="81"/>
      <c r="P47" s="81"/>
      <c r="Q47" s="90" t="e">
        <f>O46/#REF!*100</f>
        <v>#REF!</v>
      </c>
      <c r="R47" s="90"/>
      <c r="S47" s="90"/>
      <c r="T47" s="90"/>
      <c r="U47" s="90"/>
      <c r="V47" s="90"/>
      <c r="W47" s="90"/>
      <c r="X47" s="90"/>
      <c r="Y47" s="90"/>
      <c r="Z47" s="90"/>
      <c r="AA47" s="90">
        <f t="shared" si="3"/>
        <v>0</v>
      </c>
      <c r="AB47" s="90">
        <f t="shared" si="5"/>
        <v>0</v>
      </c>
      <c r="AC47" s="90">
        <f t="shared" si="6"/>
        <v>0</v>
      </c>
      <c r="AD47" s="90">
        <f t="shared" si="7"/>
        <v>0</v>
      </c>
      <c r="AE47" s="90" t="e">
        <f t="shared" si="28"/>
        <v>#DIV/0!</v>
      </c>
      <c r="AF47" s="91" t="e">
        <f>O46/N46*100</f>
        <v>#DIV/0!</v>
      </c>
      <c r="AG47" s="91" t="e">
        <f>#REF!-#REF!</f>
        <v>#REF!</v>
      </c>
    </row>
    <row r="48" spans="1:33" s="83" customFormat="1" ht="16.5" customHeight="1" x14ac:dyDescent="0.15">
      <c r="A48" s="79" t="s">
        <v>388</v>
      </c>
      <c r="B48" s="80"/>
      <c r="C48" s="80"/>
      <c r="D48" s="92">
        <f>D46+D43+D35+D32+D26+D19+D14+D12+D5</f>
        <v>21523.071</v>
      </c>
      <c r="E48" s="92">
        <f>E46+E43+E35+E32+E26+E19+E14+E12+E5-0.7</f>
        <v>27752.931</v>
      </c>
      <c r="F48" s="92">
        <f>F46+F43+F35+F32+F26+F19+F14+F12+F5</f>
        <v>34079.620999999992</v>
      </c>
      <c r="G48" s="92">
        <f>G46+G43+G35+G32+G26+G19+G14+G12+G5+G41</f>
        <v>29063.3</v>
      </c>
      <c r="H48" s="92">
        <f>H46+H43+H35+H32+H26+H19+H14+H12+H5+H41</f>
        <v>54812.500000000007</v>
      </c>
      <c r="I48" s="92">
        <f>I46+I43+I35+I32+I26+I19+I14+I12+I5+I41-1</f>
        <v>57638.999999999993</v>
      </c>
      <c r="J48" s="81">
        <f>J43+J41+J35+J32+J26+J19+J14+J12+J5</f>
        <v>74679</v>
      </c>
      <c r="K48" s="81">
        <f>K43+K41+K35+K32+K26+K19+K14+K12+K5+K30</f>
        <v>59982.54</v>
      </c>
      <c r="L48" s="81">
        <v>60834.3</v>
      </c>
      <c r="M48" s="81">
        <f t="shared" ref="M48:N48" si="39">M43+M41+M35+M32+M26+M19+M14+M12+M5+M30+M39</f>
        <v>100798.69999999998</v>
      </c>
      <c r="N48" s="81">
        <f t="shared" si="39"/>
        <v>73503</v>
      </c>
      <c r="O48" s="81">
        <f>O43+O41+O35+O32+O26+O19+O14+O12+O5+O30+O39+0.1</f>
        <v>93315.4</v>
      </c>
      <c r="P48" s="81">
        <f t="shared" ref="P48" si="40">P43+P41+P35+P30+P26+P19+P14+P12+P5+P39</f>
        <v>102916.79999999999</v>
      </c>
      <c r="Q48" s="81">
        <f t="shared" ref="Q48:AG48" si="41">Q43+Q41+Q35+Q30+Q26+Q19+Q14+Q12+Q5</f>
        <v>72244.900000000009</v>
      </c>
      <c r="R48" s="81">
        <f>R43+R41+R35+R30+R26+R19+R14+R12+R5+R32</f>
        <v>84745.400000000009</v>
      </c>
      <c r="S48" s="81">
        <f t="shared" ref="S48" si="42">S43+S41+S35+S30+S26+S19+S14+S12+S5+S32</f>
        <v>19540.199999999997</v>
      </c>
      <c r="T48" s="81">
        <f>T43+T41+T35+T30+T26+T19+T14+T12+T5+T32+T39</f>
        <v>113171.70000000001</v>
      </c>
      <c r="U48" s="81">
        <f>U43+U41+U35+U30+U26+U19+U14+U12+U5+U32+U39</f>
        <v>115094.00000000001</v>
      </c>
      <c r="V48" s="81">
        <f>V43+V41+V35+V30+V26+V19+V14+V12+V5+V32+V39</f>
        <v>69238.3</v>
      </c>
      <c r="W48" s="81">
        <f t="shared" ref="W48:Z48" si="43">W43+W41+W35+W30+W26+W19+W14+W12+W5+W32+W39</f>
        <v>116684.30000000002</v>
      </c>
      <c r="X48" s="81">
        <f t="shared" si="43"/>
        <v>70216.800000000003</v>
      </c>
      <c r="Y48" s="81">
        <f t="shared" si="43"/>
        <v>68630.700000000012</v>
      </c>
      <c r="Z48" s="81">
        <f t="shared" si="43"/>
        <v>70146.400000000009</v>
      </c>
      <c r="AA48" s="81">
        <f t="shared" si="3"/>
        <v>100</v>
      </c>
      <c r="AB48" s="81">
        <f t="shared" si="5"/>
        <v>100</v>
      </c>
      <c r="AC48" s="81">
        <f t="shared" si="6"/>
        <v>100</v>
      </c>
      <c r="AD48" s="81">
        <f t="shared" si="7"/>
        <v>100</v>
      </c>
      <c r="AE48" s="81">
        <f t="shared" si="28"/>
        <v>17.265977271703083</v>
      </c>
      <c r="AF48" s="82">
        <f t="shared" si="41"/>
        <v>62124.100000000006</v>
      </c>
      <c r="AG48" s="82">
        <f t="shared" si="41"/>
        <v>62199.600000000006</v>
      </c>
    </row>
  </sheetData>
  <mergeCells count="2">
    <mergeCell ref="A2:AD2"/>
    <mergeCell ref="A3:AG3"/>
  </mergeCells>
  <pageMargins left="0.19685039370078741" right="0.19685039370078741" top="0.19685039370078741" bottom="0.19685039370078741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5" sqref="K3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Лист1</vt:lpstr>
      <vt:lpstr>'1'!Заголовки_для_печати</vt:lpstr>
      <vt:lpstr>'2'!Заголовки_для_печати</vt:lpstr>
      <vt:lpstr>'1'!Область_печати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2024-12-10T12:39:24Z</dcterms:modified>
</cp:coreProperties>
</file>