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0" windowWidth="19170" windowHeight="8085"/>
  </bookViews>
  <sheets>
    <sheet name="1" sheetId="2" r:id="rId1"/>
    <sheet name="2" sheetId="3" r:id="rId2"/>
    <sheet name="3" sheetId="4" r:id="rId3"/>
    <sheet name="Лист1" sheetId="1" r:id="rId4"/>
  </sheets>
  <definedNames>
    <definedName name="_xlnm._FilterDatabase" localSheetId="2" hidden="1">'3'!$A$4:$H$386</definedName>
    <definedName name="_xlnm.Print_Titles" localSheetId="0">'1'!$4:$5</definedName>
    <definedName name="_xlnm.Print_Titles" localSheetId="1">'2'!$A:$C,'2'!$4:$4</definedName>
    <definedName name="_xlnm.Print_Titles" localSheetId="2">'3'!$4:$4</definedName>
    <definedName name="_xlnm.Print_Area" localSheetId="0">'1'!$A$1:$CG$127</definedName>
    <definedName name="_xlnm.Print_Area" localSheetId="1">'2'!$P$4:$P$48</definedName>
  </definedNames>
  <calcPr calcId="162913"/>
  <fileRecoveryPr repairLoad="1"/>
</workbook>
</file>

<file path=xl/calcChain.xml><?xml version="1.0" encoding="utf-8"?>
<calcChain xmlns="http://schemas.openxmlformats.org/spreadsheetml/2006/main">
  <c r="R385" i="4"/>
  <c r="Q385"/>
  <c r="P385"/>
  <c r="O385"/>
  <c r="N385"/>
  <c r="M385"/>
  <c r="L385"/>
  <c r="K385"/>
  <c r="J384"/>
  <c r="I384"/>
  <c r="H384"/>
  <c r="K384" s="1"/>
  <c r="G384"/>
  <c r="J383"/>
  <c r="M380"/>
  <c r="M379"/>
  <c r="M378"/>
  <c r="Q377"/>
  <c r="J377"/>
  <c r="I377"/>
  <c r="L377" s="1"/>
  <c r="H376"/>
  <c r="G376"/>
  <c r="G375" s="1"/>
  <c r="H375"/>
  <c r="M374"/>
  <c r="M373"/>
  <c r="M372"/>
  <c r="Q371"/>
  <c r="J371"/>
  <c r="I371"/>
  <c r="K371" s="1"/>
  <c r="I370"/>
  <c r="H370"/>
  <c r="G370"/>
  <c r="G369" s="1"/>
  <c r="H369"/>
  <c r="Q369" s="1"/>
  <c r="M368"/>
  <c r="M367"/>
  <c r="M366"/>
  <c r="Q365"/>
  <c r="L365"/>
  <c r="K365"/>
  <c r="J365"/>
  <c r="N365" s="1"/>
  <c r="I365"/>
  <c r="I364"/>
  <c r="I363" s="1"/>
  <c r="H364"/>
  <c r="G364"/>
  <c r="G363" s="1"/>
  <c r="G362" s="1"/>
  <c r="G361" s="1"/>
  <c r="R358"/>
  <c r="Q358"/>
  <c r="P358"/>
  <c r="O358"/>
  <c r="N358"/>
  <c r="M358"/>
  <c r="L358"/>
  <c r="K358"/>
  <c r="J357"/>
  <c r="I357"/>
  <c r="K357" s="1"/>
  <c r="H357"/>
  <c r="H356" s="1"/>
  <c r="G357"/>
  <c r="G356" s="1"/>
  <c r="J356"/>
  <c r="I356"/>
  <c r="K356" s="1"/>
  <c r="H355"/>
  <c r="H354"/>
  <c r="Q351"/>
  <c r="P351"/>
  <c r="N351"/>
  <c r="M351"/>
  <c r="L351"/>
  <c r="K351"/>
  <c r="J350"/>
  <c r="I350"/>
  <c r="M350" s="1"/>
  <c r="H350"/>
  <c r="G350"/>
  <c r="J349"/>
  <c r="P349" s="1"/>
  <c r="H349"/>
  <c r="H348" s="1"/>
  <c r="G349"/>
  <c r="G348" s="1"/>
  <c r="G347" s="1"/>
  <c r="G346" s="1"/>
  <c r="G345" s="1"/>
  <c r="J348"/>
  <c r="P348" s="1"/>
  <c r="H347"/>
  <c r="R344"/>
  <c r="Q344"/>
  <c r="P344"/>
  <c r="O344"/>
  <c r="N344"/>
  <c r="M344"/>
  <c r="L344"/>
  <c r="K344"/>
  <c r="L343"/>
  <c r="J343"/>
  <c r="I343"/>
  <c r="I342" s="1"/>
  <c r="H343"/>
  <c r="G343"/>
  <c r="O343" s="1"/>
  <c r="Q341"/>
  <c r="P341"/>
  <c r="N341"/>
  <c r="M341"/>
  <c r="L341"/>
  <c r="K341"/>
  <c r="J340"/>
  <c r="N340" s="1"/>
  <c r="I340"/>
  <c r="H340"/>
  <c r="Q340" s="1"/>
  <c r="G340"/>
  <c r="G339" s="1"/>
  <c r="I339"/>
  <c r="Q336"/>
  <c r="P336"/>
  <c r="N336"/>
  <c r="M336"/>
  <c r="L336"/>
  <c r="K336"/>
  <c r="J335"/>
  <c r="I335"/>
  <c r="H335"/>
  <c r="Q335" s="1"/>
  <c r="G335"/>
  <c r="I334"/>
  <c r="G334"/>
  <c r="R333"/>
  <c r="Q333"/>
  <c r="P333"/>
  <c r="O333"/>
  <c r="N333"/>
  <c r="M333"/>
  <c r="L333"/>
  <c r="K333"/>
  <c r="K332"/>
  <c r="J332"/>
  <c r="O332" s="1"/>
  <c r="I332"/>
  <c r="L332" s="1"/>
  <c r="H332"/>
  <c r="G332"/>
  <c r="G331" s="1"/>
  <c r="H331"/>
  <c r="R330"/>
  <c r="Q330"/>
  <c r="P330"/>
  <c r="O330"/>
  <c r="N330"/>
  <c r="M330"/>
  <c r="L330"/>
  <c r="K330"/>
  <c r="J329"/>
  <c r="N329" s="1"/>
  <c r="I329"/>
  <c r="H329"/>
  <c r="H328" s="1"/>
  <c r="G329"/>
  <c r="G328"/>
  <c r="Q323"/>
  <c r="P323"/>
  <c r="N323"/>
  <c r="M323"/>
  <c r="L323"/>
  <c r="K323"/>
  <c r="J322"/>
  <c r="J321" s="1"/>
  <c r="I322"/>
  <c r="H322"/>
  <c r="P322" s="1"/>
  <c r="G322"/>
  <c r="G321"/>
  <c r="G320"/>
  <c r="Q316"/>
  <c r="P316"/>
  <c r="N316"/>
  <c r="M316"/>
  <c r="L316"/>
  <c r="K316"/>
  <c r="J315"/>
  <c r="M315" s="1"/>
  <c r="I315"/>
  <c r="H315"/>
  <c r="H314" s="1"/>
  <c r="G315"/>
  <c r="L314"/>
  <c r="I314"/>
  <c r="G314"/>
  <c r="G313" s="1"/>
  <c r="G312" s="1"/>
  <c r="G311" s="1"/>
  <c r="G310" s="1"/>
  <c r="Q309"/>
  <c r="P309"/>
  <c r="N309"/>
  <c r="M309"/>
  <c r="L309"/>
  <c r="K309"/>
  <c r="J308"/>
  <c r="I308"/>
  <c r="N308" s="1"/>
  <c r="H308"/>
  <c r="G308"/>
  <c r="G307" s="1"/>
  <c r="G306" s="1"/>
  <c r="G305" s="1"/>
  <c r="J307"/>
  <c r="H307"/>
  <c r="H306" s="1"/>
  <c r="H305" s="1"/>
  <c r="Q302"/>
  <c r="P302"/>
  <c r="J302"/>
  <c r="J301" s="1"/>
  <c r="I302"/>
  <c r="H301"/>
  <c r="H300" s="1"/>
  <c r="G301"/>
  <c r="G300" s="1"/>
  <c r="Q299"/>
  <c r="P299"/>
  <c r="N299"/>
  <c r="M299"/>
  <c r="L299"/>
  <c r="K299"/>
  <c r="J298"/>
  <c r="I298"/>
  <c r="I297" s="1"/>
  <c r="L297" s="1"/>
  <c r="H298"/>
  <c r="P298" s="1"/>
  <c r="G298"/>
  <c r="J297"/>
  <c r="H297"/>
  <c r="Q291"/>
  <c r="P291"/>
  <c r="J291"/>
  <c r="I291"/>
  <c r="Q288"/>
  <c r="J288"/>
  <c r="I288"/>
  <c r="H287"/>
  <c r="G287"/>
  <c r="M286"/>
  <c r="M285"/>
  <c r="M284"/>
  <c r="M283"/>
  <c r="M282"/>
  <c r="M281"/>
  <c r="M280"/>
  <c r="M279"/>
  <c r="M278"/>
  <c r="R277"/>
  <c r="Q277"/>
  <c r="J277"/>
  <c r="N277" s="1"/>
  <c r="I277"/>
  <c r="L277" s="1"/>
  <c r="H276"/>
  <c r="H275" s="1"/>
  <c r="G276"/>
  <c r="Q268"/>
  <c r="K268"/>
  <c r="J268"/>
  <c r="P268" s="1"/>
  <c r="I268"/>
  <c r="J267"/>
  <c r="P267" s="1"/>
  <c r="H267"/>
  <c r="H266" s="1"/>
  <c r="G267"/>
  <c r="G266" s="1"/>
  <c r="J266"/>
  <c r="P266" s="1"/>
  <c r="R265"/>
  <c r="Q265"/>
  <c r="P265"/>
  <c r="O265"/>
  <c r="N265"/>
  <c r="M265"/>
  <c r="L265"/>
  <c r="K265"/>
  <c r="J264"/>
  <c r="I264"/>
  <c r="H264"/>
  <c r="R264" s="1"/>
  <c r="G264"/>
  <c r="G263" s="1"/>
  <c r="J263"/>
  <c r="R262"/>
  <c r="Q262"/>
  <c r="P262"/>
  <c r="O262"/>
  <c r="N262"/>
  <c r="M262"/>
  <c r="L262"/>
  <c r="K262"/>
  <c r="J261"/>
  <c r="I261"/>
  <c r="I260" s="1"/>
  <c r="H261"/>
  <c r="G261"/>
  <c r="G260" s="1"/>
  <c r="H260"/>
  <c r="R257"/>
  <c r="Q257"/>
  <c r="J257"/>
  <c r="I257"/>
  <c r="K257" s="1"/>
  <c r="H256"/>
  <c r="R256" s="1"/>
  <c r="G256"/>
  <c r="G255" s="1"/>
  <c r="Q254"/>
  <c r="P254"/>
  <c r="N254"/>
  <c r="M254"/>
  <c r="L254"/>
  <c r="K254"/>
  <c r="J253"/>
  <c r="I253"/>
  <c r="I252" s="1"/>
  <c r="H253"/>
  <c r="H252" s="1"/>
  <c r="G253"/>
  <c r="G252" s="1"/>
  <c r="R244"/>
  <c r="Q244"/>
  <c r="K244"/>
  <c r="J244"/>
  <c r="P244" s="1"/>
  <c r="I244"/>
  <c r="L244" s="1"/>
  <c r="J243"/>
  <c r="N243" s="1"/>
  <c r="I243"/>
  <c r="H243"/>
  <c r="H242" s="1"/>
  <c r="G243"/>
  <c r="I242"/>
  <c r="L242" s="1"/>
  <c r="G242"/>
  <c r="R238"/>
  <c r="Q238"/>
  <c r="L238"/>
  <c r="J238"/>
  <c r="M238" s="1"/>
  <c r="I238"/>
  <c r="K238" s="1"/>
  <c r="I237"/>
  <c r="H237"/>
  <c r="H236" s="1"/>
  <c r="R236" s="1"/>
  <c r="G237"/>
  <c r="Q237" s="1"/>
  <c r="G236"/>
  <c r="Q234"/>
  <c r="P234"/>
  <c r="N234"/>
  <c r="M234"/>
  <c r="L234"/>
  <c r="K234"/>
  <c r="J233"/>
  <c r="P233" s="1"/>
  <c r="I233"/>
  <c r="H233"/>
  <c r="Q233" s="1"/>
  <c r="G233"/>
  <c r="G232" s="1"/>
  <c r="Q232"/>
  <c r="H232"/>
  <c r="Q230"/>
  <c r="P230"/>
  <c r="N230"/>
  <c r="M230"/>
  <c r="L230"/>
  <c r="K230"/>
  <c r="J229"/>
  <c r="N229" s="1"/>
  <c r="I229"/>
  <c r="I228" s="1"/>
  <c r="H229"/>
  <c r="P229" s="1"/>
  <c r="G229"/>
  <c r="H228"/>
  <c r="I227"/>
  <c r="I226"/>
  <c r="Q223"/>
  <c r="P223"/>
  <c r="N223"/>
  <c r="M223"/>
  <c r="L223"/>
  <c r="K223"/>
  <c r="J222"/>
  <c r="I222"/>
  <c r="L222" s="1"/>
  <c r="H222"/>
  <c r="G222"/>
  <c r="Q222" s="1"/>
  <c r="M221"/>
  <c r="M220"/>
  <c r="M219"/>
  <c r="M218"/>
  <c r="R217"/>
  <c r="Q217"/>
  <c r="J217"/>
  <c r="P217" s="1"/>
  <c r="I217"/>
  <c r="I216"/>
  <c r="H216"/>
  <c r="Q216" s="1"/>
  <c r="G216"/>
  <c r="G215"/>
  <c r="R214"/>
  <c r="Q214"/>
  <c r="P214"/>
  <c r="O214"/>
  <c r="N214"/>
  <c r="M214"/>
  <c r="L214"/>
  <c r="K214"/>
  <c r="J213"/>
  <c r="I213"/>
  <c r="M213" s="1"/>
  <c r="H213"/>
  <c r="P213" s="1"/>
  <c r="G213"/>
  <c r="J212"/>
  <c r="I212"/>
  <c r="N212" s="1"/>
  <c r="H212"/>
  <c r="Q211"/>
  <c r="P211"/>
  <c r="N211"/>
  <c r="M211"/>
  <c r="L211"/>
  <c r="K211"/>
  <c r="J210"/>
  <c r="N210" s="1"/>
  <c r="I210"/>
  <c r="H210"/>
  <c r="G210"/>
  <c r="I209"/>
  <c r="G209"/>
  <c r="Q208"/>
  <c r="P208"/>
  <c r="N208"/>
  <c r="M208"/>
  <c r="L208"/>
  <c r="K208"/>
  <c r="J207"/>
  <c r="J206" s="1"/>
  <c r="P206" s="1"/>
  <c r="I207"/>
  <c r="H207"/>
  <c r="G207"/>
  <c r="H206"/>
  <c r="Q206" s="1"/>
  <c r="G206"/>
  <c r="R202"/>
  <c r="Q202"/>
  <c r="P202"/>
  <c r="O202"/>
  <c r="N202"/>
  <c r="M202"/>
  <c r="L202"/>
  <c r="K202"/>
  <c r="J201"/>
  <c r="I201"/>
  <c r="M201" s="1"/>
  <c r="H201"/>
  <c r="G201"/>
  <c r="G200" s="1"/>
  <c r="G199" s="1"/>
  <c r="G198" s="1"/>
  <c r="G197" s="1"/>
  <c r="J200"/>
  <c r="J199" s="1"/>
  <c r="H200"/>
  <c r="Q196"/>
  <c r="P196"/>
  <c r="N196"/>
  <c r="M196"/>
  <c r="L196"/>
  <c r="K196"/>
  <c r="M195"/>
  <c r="J195"/>
  <c r="I195"/>
  <c r="I194" s="1"/>
  <c r="I193" s="1"/>
  <c r="I192" s="1"/>
  <c r="H195"/>
  <c r="G195"/>
  <c r="G194" s="1"/>
  <c r="G193" s="1"/>
  <c r="G192" s="1"/>
  <c r="G191" s="1"/>
  <c r="Q190"/>
  <c r="P190"/>
  <c r="N190"/>
  <c r="M190"/>
  <c r="L190"/>
  <c r="K190"/>
  <c r="J189"/>
  <c r="I189"/>
  <c r="K189" s="1"/>
  <c r="H189"/>
  <c r="H188" s="1"/>
  <c r="G189"/>
  <c r="G188"/>
  <c r="R187"/>
  <c r="Q187"/>
  <c r="P187"/>
  <c r="O187"/>
  <c r="N187"/>
  <c r="M187"/>
  <c r="L187"/>
  <c r="K187"/>
  <c r="J186"/>
  <c r="I186"/>
  <c r="M186" s="1"/>
  <c r="H186"/>
  <c r="G186"/>
  <c r="O186" s="1"/>
  <c r="J185"/>
  <c r="P185" s="1"/>
  <c r="H185"/>
  <c r="R180"/>
  <c r="Q180"/>
  <c r="P180"/>
  <c r="O180"/>
  <c r="N180"/>
  <c r="M180"/>
  <c r="L180"/>
  <c r="K180"/>
  <c r="J179"/>
  <c r="N179" s="1"/>
  <c r="I179"/>
  <c r="H179"/>
  <c r="Q179" s="1"/>
  <c r="G179"/>
  <c r="R178"/>
  <c r="Q178"/>
  <c r="P178"/>
  <c r="O178"/>
  <c r="N178"/>
  <c r="M178"/>
  <c r="L178"/>
  <c r="K178"/>
  <c r="J177"/>
  <c r="I177"/>
  <c r="H177"/>
  <c r="L177" s="1"/>
  <c r="G177"/>
  <c r="I176"/>
  <c r="G176"/>
  <c r="R175"/>
  <c r="Q175"/>
  <c r="P175"/>
  <c r="O175"/>
  <c r="N175"/>
  <c r="M175"/>
  <c r="L175"/>
  <c r="K175"/>
  <c r="J174"/>
  <c r="I174"/>
  <c r="I171" s="1"/>
  <c r="H174"/>
  <c r="G174"/>
  <c r="R173"/>
  <c r="Q173"/>
  <c r="P173"/>
  <c r="O173"/>
  <c r="N173"/>
  <c r="M173"/>
  <c r="L173"/>
  <c r="K173"/>
  <c r="M172"/>
  <c r="J172"/>
  <c r="I172"/>
  <c r="H172"/>
  <c r="G172"/>
  <c r="O172" s="1"/>
  <c r="J171"/>
  <c r="H171"/>
  <c r="Q165"/>
  <c r="L165"/>
  <c r="K165"/>
  <c r="J165"/>
  <c r="P165" s="1"/>
  <c r="I165"/>
  <c r="I164"/>
  <c r="H164"/>
  <c r="G164"/>
  <c r="R160"/>
  <c r="Q160"/>
  <c r="L160"/>
  <c r="J160"/>
  <c r="N160" s="1"/>
  <c r="I160"/>
  <c r="K160" s="1"/>
  <c r="Q159"/>
  <c r="I159"/>
  <c r="H159"/>
  <c r="R159" s="1"/>
  <c r="G159"/>
  <c r="G158" s="1"/>
  <c r="M157"/>
  <c r="M156"/>
  <c r="M155"/>
  <c r="Q154"/>
  <c r="L154"/>
  <c r="J154"/>
  <c r="P154" s="1"/>
  <c r="I154"/>
  <c r="K154" s="1"/>
  <c r="I153"/>
  <c r="H153"/>
  <c r="G153"/>
  <c r="G152" s="1"/>
  <c r="Q152" s="1"/>
  <c r="H152"/>
  <c r="Q151"/>
  <c r="P151"/>
  <c r="N151"/>
  <c r="M151"/>
  <c r="L151"/>
  <c r="K151"/>
  <c r="N150"/>
  <c r="J150"/>
  <c r="I150"/>
  <c r="H150"/>
  <c r="H149" s="1"/>
  <c r="G150"/>
  <c r="G149" s="1"/>
  <c r="Q145"/>
  <c r="P145"/>
  <c r="N145"/>
  <c r="M145"/>
  <c r="L145"/>
  <c r="K145"/>
  <c r="J144"/>
  <c r="I144"/>
  <c r="H144"/>
  <c r="G144"/>
  <c r="G139" s="1"/>
  <c r="R141"/>
  <c r="Q141"/>
  <c r="K141"/>
  <c r="J141"/>
  <c r="O141" s="1"/>
  <c r="I141"/>
  <c r="J140"/>
  <c r="H140"/>
  <c r="G140"/>
  <c r="Q138"/>
  <c r="P138"/>
  <c r="N138"/>
  <c r="M138"/>
  <c r="L138"/>
  <c r="K138"/>
  <c r="J137"/>
  <c r="I137"/>
  <c r="M137" s="1"/>
  <c r="G137"/>
  <c r="Q137" s="1"/>
  <c r="R134"/>
  <c r="Q134"/>
  <c r="P134"/>
  <c r="J134"/>
  <c r="O134" s="1"/>
  <c r="I134"/>
  <c r="O133"/>
  <c r="J133"/>
  <c r="H133"/>
  <c r="H132" s="1"/>
  <c r="G133"/>
  <c r="R133" s="1"/>
  <c r="G132"/>
  <c r="R124"/>
  <c r="Q124"/>
  <c r="L124"/>
  <c r="J124"/>
  <c r="N124" s="1"/>
  <c r="I124"/>
  <c r="K124" s="1"/>
  <c r="H123"/>
  <c r="G123"/>
  <c r="G122" s="1"/>
  <c r="G121" s="1"/>
  <c r="G120" s="1"/>
  <c r="G119" s="1"/>
  <c r="G118" s="1"/>
  <c r="R115"/>
  <c r="Q115"/>
  <c r="J115"/>
  <c r="P115" s="1"/>
  <c r="I115"/>
  <c r="L115" s="1"/>
  <c r="J114"/>
  <c r="H114"/>
  <c r="H113" s="1"/>
  <c r="G114"/>
  <c r="J113"/>
  <c r="O113" s="1"/>
  <c r="G113"/>
  <c r="R113" s="1"/>
  <c r="H112"/>
  <c r="G112"/>
  <c r="R112" s="1"/>
  <c r="R111"/>
  <c r="Q111"/>
  <c r="P111"/>
  <c r="O111"/>
  <c r="N111"/>
  <c r="M111"/>
  <c r="L111"/>
  <c r="K111"/>
  <c r="J109"/>
  <c r="I109"/>
  <c r="L109" s="1"/>
  <c r="H109"/>
  <c r="G109"/>
  <c r="R108"/>
  <c r="Q108"/>
  <c r="P108"/>
  <c r="O108"/>
  <c r="N108"/>
  <c r="M108"/>
  <c r="L108"/>
  <c r="K108"/>
  <c r="J107"/>
  <c r="O107" s="1"/>
  <c r="I107"/>
  <c r="H107"/>
  <c r="K107" s="1"/>
  <c r="G107"/>
  <c r="M106"/>
  <c r="M105"/>
  <c r="M104"/>
  <c r="M103"/>
  <c r="M102"/>
  <c r="M101"/>
  <c r="R99"/>
  <c r="Q99"/>
  <c r="J99"/>
  <c r="P99" s="1"/>
  <c r="I99"/>
  <c r="L99" s="1"/>
  <c r="J98"/>
  <c r="I98"/>
  <c r="K98" s="1"/>
  <c r="H98"/>
  <c r="G98"/>
  <c r="J97"/>
  <c r="G97"/>
  <c r="Q96"/>
  <c r="P96"/>
  <c r="N96"/>
  <c r="M96"/>
  <c r="L96"/>
  <c r="K96"/>
  <c r="J95"/>
  <c r="N95" s="1"/>
  <c r="I95"/>
  <c r="I94" s="1"/>
  <c r="H95"/>
  <c r="L95" s="1"/>
  <c r="G95"/>
  <c r="H94"/>
  <c r="K94" s="1"/>
  <c r="G94"/>
  <c r="R93"/>
  <c r="Q93"/>
  <c r="P93"/>
  <c r="O93"/>
  <c r="N93"/>
  <c r="M93"/>
  <c r="L93"/>
  <c r="K93"/>
  <c r="J92"/>
  <c r="I92"/>
  <c r="H92"/>
  <c r="H91" s="1"/>
  <c r="G92"/>
  <c r="J91"/>
  <c r="P91" s="1"/>
  <c r="G91"/>
  <c r="Q91" s="1"/>
  <c r="R90"/>
  <c r="Q90"/>
  <c r="P90"/>
  <c r="O90"/>
  <c r="N90"/>
  <c r="M90"/>
  <c r="L90"/>
  <c r="K90"/>
  <c r="J89"/>
  <c r="P89" s="1"/>
  <c r="I89"/>
  <c r="M89" s="1"/>
  <c r="H89"/>
  <c r="G89"/>
  <c r="J88"/>
  <c r="H88"/>
  <c r="R84"/>
  <c r="Q84"/>
  <c r="P84"/>
  <c r="O84"/>
  <c r="N84"/>
  <c r="M84"/>
  <c r="L84"/>
  <c r="K84"/>
  <c r="K83"/>
  <c r="J83"/>
  <c r="N83" s="1"/>
  <c r="I83"/>
  <c r="H83"/>
  <c r="G83"/>
  <c r="H82"/>
  <c r="R78"/>
  <c r="Q78"/>
  <c r="P78"/>
  <c r="O78"/>
  <c r="N78"/>
  <c r="M78"/>
  <c r="L78"/>
  <c r="K78"/>
  <c r="M77"/>
  <c r="J77"/>
  <c r="N77" s="1"/>
  <c r="I77"/>
  <c r="H77"/>
  <c r="P77" s="1"/>
  <c r="G77"/>
  <c r="O77" s="1"/>
  <c r="J76"/>
  <c r="Q70"/>
  <c r="L70"/>
  <c r="J70"/>
  <c r="P70" s="1"/>
  <c r="I70"/>
  <c r="K70" s="1"/>
  <c r="I69"/>
  <c r="H69"/>
  <c r="G69"/>
  <c r="G68" s="1"/>
  <c r="H68"/>
  <c r="Q68" s="1"/>
  <c r="R65"/>
  <c r="Q65"/>
  <c r="O65"/>
  <c r="J65"/>
  <c r="N65" s="1"/>
  <c r="I65"/>
  <c r="J64"/>
  <c r="H64"/>
  <c r="G64"/>
  <c r="G63"/>
  <c r="Q62"/>
  <c r="P62"/>
  <c r="N62"/>
  <c r="M62"/>
  <c r="L62"/>
  <c r="K62"/>
  <c r="Q61"/>
  <c r="P61"/>
  <c r="N61"/>
  <c r="M61"/>
  <c r="L61"/>
  <c r="K61"/>
  <c r="J60"/>
  <c r="I60"/>
  <c r="K60" s="1"/>
  <c r="H60"/>
  <c r="G60"/>
  <c r="M59"/>
  <c r="M58"/>
  <c r="M57"/>
  <c r="M56"/>
  <c r="M55"/>
  <c r="M54"/>
  <c r="M53"/>
  <c r="R52"/>
  <c r="Q52"/>
  <c r="J52"/>
  <c r="I52"/>
  <c r="K52" s="1"/>
  <c r="Q51"/>
  <c r="I51"/>
  <c r="H51"/>
  <c r="R51" s="1"/>
  <c r="G51"/>
  <c r="M50"/>
  <c r="M49"/>
  <c r="M48"/>
  <c r="M47"/>
  <c r="M46"/>
  <c r="M45"/>
  <c r="M44"/>
  <c r="R43"/>
  <c r="Q43"/>
  <c r="O43"/>
  <c r="J43"/>
  <c r="P43" s="1"/>
  <c r="I43"/>
  <c r="J42"/>
  <c r="P42" s="1"/>
  <c r="H42"/>
  <c r="G42"/>
  <c r="G41" s="1"/>
  <c r="G40" s="1"/>
  <c r="G39" s="1"/>
  <c r="G38" s="1"/>
  <c r="Q35"/>
  <c r="K35"/>
  <c r="J35"/>
  <c r="P35" s="1"/>
  <c r="I35"/>
  <c r="M35" s="1"/>
  <c r="J34"/>
  <c r="H34"/>
  <c r="H33" s="1"/>
  <c r="G34"/>
  <c r="G33" s="1"/>
  <c r="Q32"/>
  <c r="P32"/>
  <c r="N32"/>
  <c r="M32"/>
  <c r="L32"/>
  <c r="K32"/>
  <c r="J31"/>
  <c r="P31" s="1"/>
  <c r="I31"/>
  <c r="L31" s="1"/>
  <c r="G31"/>
  <c r="Q31" s="1"/>
  <c r="Q30"/>
  <c r="P30"/>
  <c r="N30"/>
  <c r="M30"/>
  <c r="L30"/>
  <c r="K30"/>
  <c r="M29"/>
  <c r="J29"/>
  <c r="N29" s="1"/>
  <c r="I29"/>
  <c r="L29" s="1"/>
  <c r="H29"/>
  <c r="Q29" s="1"/>
  <c r="G29"/>
  <c r="M28"/>
  <c r="M27"/>
  <c r="M26"/>
  <c r="M25"/>
  <c r="M24"/>
  <c r="M23"/>
  <c r="M22"/>
  <c r="R21"/>
  <c r="Q21"/>
  <c r="J21"/>
  <c r="M21" s="1"/>
  <c r="I21"/>
  <c r="K21" s="1"/>
  <c r="H20"/>
  <c r="G20"/>
  <c r="G19" s="1"/>
  <c r="Q18"/>
  <c r="P18"/>
  <c r="N18"/>
  <c r="M18"/>
  <c r="L18"/>
  <c r="K18"/>
  <c r="J17"/>
  <c r="N17" s="1"/>
  <c r="I17"/>
  <c r="H17"/>
  <c r="G17"/>
  <c r="M16"/>
  <c r="M15"/>
  <c r="M14"/>
  <c r="M13"/>
  <c r="M12"/>
  <c r="R11"/>
  <c r="Q11"/>
  <c r="J11"/>
  <c r="M11" s="1"/>
  <c r="I11"/>
  <c r="K11" s="1"/>
  <c r="H10"/>
  <c r="G10"/>
  <c r="G9" s="1"/>
  <c r="AS47" i="3"/>
  <c r="AR47"/>
  <c r="AN47"/>
  <c r="AM47"/>
  <c r="AG47"/>
  <c r="AF47"/>
  <c r="AD47"/>
  <c r="AC47"/>
  <c r="AB47"/>
  <c r="AA47"/>
  <c r="Q47"/>
  <c r="AI47" s="1"/>
  <c r="AN46"/>
  <c r="AM46"/>
  <c r="AI46"/>
  <c r="AH46"/>
  <c r="AG46"/>
  <c r="AF46"/>
  <c r="AE46"/>
  <c r="AD46"/>
  <c r="AC46"/>
  <c r="AB46"/>
  <c r="AA46"/>
  <c r="G46"/>
  <c r="F46"/>
  <c r="E46"/>
  <c r="D46"/>
  <c r="AN45"/>
  <c r="AM45"/>
  <c r="AI45"/>
  <c r="AH45"/>
  <c r="AG45"/>
  <c r="AF45"/>
  <c r="AE45"/>
  <c r="AD45"/>
  <c r="AC45"/>
  <c r="AB45"/>
  <c r="AA45"/>
  <c r="AN44"/>
  <c r="AM44"/>
  <c r="AI44"/>
  <c r="AH44"/>
  <c r="AG44"/>
  <c r="AF44"/>
  <c r="AE44"/>
  <c r="AD44"/>
  <c r="AC44"/>
  <c r="AB44"/>
  <c r="AA44"/>
  <c r="AS43"/>
  <c r="AR43"/>
  <c r="AQ43"/>
  <c r="AP43"/>
  <c r="AL43"/>
  <c r="AK43"/>
  <c r="Z43"/>
  <c r="Y43"/>
  <c r="X43"/>
  <c r="AI43" s="1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AN42"/>
  <c r="AM42"/>
  <c r="AI42"/>
  <c r="AH42"/>
  <c r="AG42"/>
  <c r="AF42"/>
  <c r="AE42"/>
  <c r="AD42"/>
  <c r="AC42"/>
  <c r="AB42"/>
  <c r="AA42"/>
  <c r="AS41"/>
  <c r="AR41"/>
  <c r="AQ41"/>
  <c r="AP41"/>
  <c r="AL41"/>
  <c r="AK41"/>
  <c r="AA41"/>
  <c r="Z41"/>
  <c r="AE41" s="1"/>
  <c r="Y41"/>
  <c r="X41"/>
  <c r="W41"/>
  <c r="V41"/>
  <c r="U41"/>
  <c r="T41"/>
  <c r="S41"/>
  <c r="R41"/>
  <c r="Q41"/>
  <c r="AI41" s="1"/>
  <c r="P41"/>
  <c r="O41"/>
  <c r="N41"/>
  <c r="M41"/>
  <c r="L41"/>
  <c r="K41"/>
  <c r="J41"/>
  <c r="I41"/>
  <c r="H41"/>
  <c r="G41"/>
  <c r="F41"/>
  <c r="E41"/>
  <c r="D41"/>
  <c r="AS40"/>
  <c r="AN40"/>
  <c r="AM40"/>
  <c r="AH40"/>
  <c r="AG40"/>
  <c r="AF40"/>
  <c r="AD40"/>
  <c r="AC40"/>
  <c r="AB40"/>
  <c r="AA40"/>
  <c r="AQ39"/>
  <c r="AP39"/>
  <c r="AN39"/>
  <c r="AL39"/>
  <c r="AK39"/>
  <c r="Z39"/>
  <c r="AG39" s="1"/>
  <c r="Y39"/>
  <c r="X39"/>
  <c r="AH39" s="1"/>
  <c r="W39"/>
  <c r="V39"/>
  <c r="U39"/>
  <c r="T39"/>
  <c r="P39"/>
  <c r="M39"/>
  <c r="AN38"/>
  <c r="AM38"/>
  <c r="AI38"/>
  <c r="AH38"/>
  <c r="AG38"/>
  <c r="AF38"/>
  <c r="AE38"/>
  <c r="AD38"/>
  <c r="AC38"/>
  <c r="AB38"/>
  <c r="AA38"/>
  <c r="AN37"/>
  <c r="AM37"/>
  <c r="AI37"/>
  <c r="AH37"/>
  <c r="AG37"/>
  <c r="AF37"/>
  <c r="AE37"/>
  <c r="AD37"/>
  <c r="AC37"/>
  <c r="AB37"/>
  <c r="AA37"/>
  <c r="AN36"/>
  <c r="AM36"/>
  <c r="AI36"/>
  <c r="AH36"/>
  <c r="AG36"/>
  <c r="AF36"/>
  <c r="AE36"/>
  <c r="AD36"/>
  <c r="AC36"/>
  <c r="AB36"/>
  <c r="AA36"/>
  <c r="F36"/>
  <c r="AS35"/>
  <c r="AR35"/>
  <c r="AQ35"/>
  <c r="AP35"/>
  <c r="AL35"/>
  <c r="AK35"/>
  <c r="Z35"/>
  <c r="Y35"/>
  <c r="X35"/>
  <c r="AI35" s="1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AS34"/>
  <c r="AR34"/>
  <c r="AN34"/>
  <c r="AM34"/>
  <c r="AI34"/>
  <c r="AH34"/>
  <c r="AG34"/>
  <c r="AF34"/>
  <c r="AE34"/>
  <c r="AD34"/>
  <c r="AC34"/>
  <c r="AB34"/>
  <c r="AA34"/>
  <c r="AM33"/>
  <c r="AH33"/>
  <c r="AF33"/>
  <c r="AD33"/>
  <c r="AC33"/>
  <c r="AB33"/>
  <c r="AA33"/>
  <c r="AS32"/>
  <c r="AQ32"/>
  <c r="AP32"/>
  <c r="AL32"/>
  <c r="AK32"/>
  <c r="Z32"/>
  <c r="AD32" s="1"/>
  <c r="Y32"/>
  <c r="X32"/>
  <c r="AH32" s="1"/>
  <c r="W32"/>
  <c r="V32"/>
  <c r="U32"/>
  <c r="T32"/>
  <c r="S32"/>
  <c r="R32"/>
  <c r="J32"/>
  <c r="I32"/>
  <c r="H32"/>
  <c r="G32"/>
  <c r="F32"/>
  <c r="E32"/>
  <c r="D32"/>
  <c r="AM31"/>
  <c r="AH31"/>
  <c r="AG31"/>
  <c r="AF31"/>
  <c r="AD31"/>
  <c r="AC31"/>
  <c r="AB31"/>
  <c r="AA31"/>
  <c r="AS30"/>
  <c r="AR30"/>
  <c r="AQ30"/>
  <c r="AP30"/>
  <c r="AL30"/>
  <c r="AK30"/>
  <c r="AM30" s="1"/>
  <c r="Z30"/>
  <c r="Y30"/>
  <c r="AB30" s="1"/>
  <c r="X30"/>
  <c r="W30"/>
  <c r="V30"/>
  <c r="U30"/>
  <c r="T30"/>
  <c r="S30"/>
  <c r="R30"/>
  <c r="Q30"/>
  <c r="AH30" s="1"/>
  <c r="P30"/>
  <c r="O30"/>
  <c r="M30"/>
  <c r="L30"/>
  <c r="K30"/>
  <c r="AN29"/>
  <c r="AM29"/>
  <c r="AI29"/>
  <c r="AH29"/>
  <c r="AG29"/>
  <c r="AF29"/>
  <c r="AE29"/>
  <c r="AD29"/>
  <c r="AC29"/>
  <c r="AB29"/>
  <c r="AA29"/>
  <c r="F29"/>
  <c r="AN28"/>
  <c r="AM28"/>
  <c r="AI28"/>
  <c r="AH28"/>
  <c r="AG28"/>
  <c r="AF28"/>
  <c r="AE28"/>
  <c r="AD28"/>
  <c r="AC28"/>
  <c r="AB28"/>
  <c r="AA28"/>
  <c r="F28"/>
  <c r="AN27"/>
  <c r="AM27"/>
  <c r="AI27"/>
  <c r="AH27"/>
  <c r="AG27"/>
  <c r="AF27"/>
  <c r="AE27"/>
  <c r="AD27"/>
  <c r="AC27"/>
  <c r="AB27"/>
  <c r="AA27"/>
  <c r="F27"/>
  <c r="AS26"/>
  <c r="AR26"/>
  <c r="AQ26"/>
  <c r="AP26"/>
  <c r="AL26"/>
  <c r="AK26"/>
  <c r="Z26"/>
  <c r="Y26"/>
  <c r="AB26" s="1"/>
  <c r="X26"/>
  <c r="W26"/>
  <c r="V26"/>
  <c r="U26"/>
  <c r="T26"/>
  <c r="S26"/>
  <c r="R26"/>
  <c r="Q26"/>
  <c r="AH26" s="1"/>
  <c r="P26"/>
  <c r="O26"/>
  <c r="N26"/>
  <c r="M26"/>
  <c r="L26"/>
  <c r="K26"/>
  <c r="J26"/>
  <c r="I26"/>
  <c r="H26"/>
  <c r="G26"/>
  <c r="F26"/>
  <c r="E26"/>
  <c r="D26"/>
  <c r="AS25"/>
  <c r="AR25"/>
  <c r="AN25"/>
  <c r="AM25"/>
  <c r="AG25"/>
  <c r="AF25"/>
  <c r="AD25"/>
  <c r="AC25"/>
  <c r="AB25"/>
  <c r="AA25"/>
  <c r="Q25"/>
  <c r="AI25" s="1"/>
  <c r="F25"/>
  <c r="AN24"/>
  <c r="AM24"/>
  <c r="AI24"/>
  <c r="AH24"/>
  <c r="AG24"/>
  <c r="AF24"/>
  <c r="AE24"/>
  <c r="AD24"/>
  <c r="AC24"/>
  <c r="AB24"/>
  <c r="AA24"/>
  <c r="F24"/>
  <c r="AN23"/>
  <c r="AM23"/>
  <c r="AI23"/>
  <c r="AH23"/>
  <c r="AG23"/>
  <c r="AF23"/>
  <c r="AE23"/>
  <c r="AD23"/>
  <c r="AC23"/>
  <c r="AB23"/>
  <c r="AA23"/>
  <c r="F23"/>
  <c r="AN22"/>
  <c r="AM22"/>
  <c r="AI22"/>
  <c r="AH22"/>
  <c r="AG22"/>
  <c r="AF22"/>
  <c r="AE22"/>
  <c r="AD22"/>
  <c r="AC22"/>
  <c r="AB22"/>
  <c r="AA22"/>
  <c r="AM21"/>
  <c r="AH21"/>
  <c r="AG21"/>
  <c r="AF21"/>
  <c r="AD21"/>
  <c r="AC21"/>
  <c r="AB21"/>
  <c r="AA21"/>
  <c r="AN20"/>
  <c r="AM20"/>
  <c r="AI20"/>
  <c r="AH20"/>
  <c r="AG20"/>
  <c r="AF20"/>
  <c r="AE20"/>
  <c r="AD20"/>
  <c r="AC20"/>
  <c r="AB20"/>
  <c r="AA20"/>
  <c r="F20"/>
  <c r="AS19"/>
  <c r="AR19"/>
  <c r="AQ19"/>
  <c r="AP19"/>
  <c r="AL19"/>
  <c r="AK19"/>
  <c r="Z19"/>
  <c r="Y19"/>
  <c r="AB19" s="1"/>
  <c r="X19"/>
  <c r="W19"/>
  <c r="V19"/>
  <c r="U19"/>
  <c r="T19"/>
  <c r="S19"/>
  <c r="R19"/>
  <c r="Q19"/>
  <c r="AE19" s="1"/>
  <c r="P19"/>
  <c r="O19"/>
  <c r="N19"/>
  <c r="M19"/>
  <c r="L19"/>
  <c r="K19"/>
  <c r="J19"/>
  <c r="I19"/>
  <c r="H19"/>
  <c r="G19"/>
  <c r="E19"/>
  <c r="D19"/>
  <c r="AN18"/>
  <c r="AM18"/>
  <c r="AI18"/>
  <c r="AH18"/>
  <c r="AG18"/>
  <c r="AF18"/>
  <c r="AE18"/>
  <c r="AD18"/>
  <c r="AC18"/>
  <c r="AB18"/>
  <c r="AA18"/>
  <c r="AN17"/>
  <c r="AM17"/>
  <c r="AI17"/>
  <c r="AH17"/>
  <c r="AG17"/>
  <c r="AF17"/>
  <c r="AE17"/>
  <c r="AD17"/>
  <c r="AC17"/>
  <c r="AB17"/>
  <c r="AA17"/>
  <c r="AN16"/>
  <c r="AM16"/>
  <c r="AI16"/>
  <c r="AH16"/>
  <c r="AG16"/>
  <c r="AF16"/>
  <c r="AE16"/>
  <c r="AD16"/>
  <c r="AC16"/>
  <c r="AB16"/>
  <c r="AA16"/>
  <c r="F16"/>
  <c r="AN15"/>
  <c r="AM15"/>
  <c r="AI15"/>
  <c r="AH15"/>
  <c r="AG15"/>
  <c r="AF15"/>
  <c r="AE15"/>
  <c r="AD15"/>
  <c r="AC15"/>
  <c r="AB15"/>
  <c r="AA15"/>
  <c r="F15"/>
  <c r="AS14"/>
  <c r="AR14"/>
  <c r="AQ14"/>
  <c r="AP14"/>
  <c r="AL14"/>
  <c r="AK14"/>
  <c r="AM14" s="1"/>
  <c r="Z14"/>
  <c r="AD14" s="1"/>
  <c r="Y14"/>
  <c r="AA14" s="1"/>
  <c r="X14"/>
  <c r="AH14" s="1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AN13"/>
  <c r="AM13"/>
  <c r="AI13"/>
  <c r="AH13"/>
  <c r="AG13"/>
  <c r="AF13"/>
  <c r="AE13"/>
  <c r="AD13"/>
  <c r="AC13"/>
  <c r="AB13"/>
  <c r="AA13"/>
  <c r="F13"/>
  <c r="AS12"/>
  <c r="AR12"/>
  <c r="AQ12"/>
  <c r="AP12"/>
  <c r="AM12"/>
  <c r="AL12"/>
  <c r="AK12"/>
  <c r="AN12" s="1"/>
  <c r="AE12"/>
  <c r="Z12"/>
  <c r="AD12" s="1"/>
  <c r="Y12"/>
  <c r="X12"/>
  <c r="AH12" s="1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N11"/>
  <c r="AM11"/>
  <c r="AI11"/>
  <c r="AH11"/>
  <c r="AG11"/>
  <c r="AF11"/>
  <c r="AE11"/>
  <c r="AD11"/>
  <c r="AC11"/>
  <c r="AB11"/>
  <c r="AA11"/>
  <c r="F11"/>
  <c r="AN10"/>
  <c r="AM10"/>
  <c r="AI10"/>
  <c r="AH10"/>
  <c r="AF10"/>
  <c r="AE10"/>
  <c r="AD10"/>
  <c r="AC10"/>
  <c r="AB10"/>
  <c r="AA10"/>
  <c r="AN9"/>
  <c r="AM9"/>
  <c r="AI9"/>
  <c r="AH9"/>
  <c r="AG9"/>
  <c r="AF9"/>
  <c r="AE9"/>
  <c r="AD9"/>
  <c r="AC9"/>
  <c r="AB9"/>
  <c r="AA9"/>
  <c r="F9"/>
  <c r="AM8"/>
  <c r="AI8"/>
  <c r="AH8"/>
  <c r="AG8"/>
  <c r="AF8"/>
  <c r="AE8"/>
  <c r="AD8"/>
  <c r="AC8"/>
  <c r="AB8"/>
  <c r="AA8"/>
  <c r="AN7"/>
  <c r="AM7"/>
  <c r="AI7"/>
  <c r="AH7"/>
  <c r="AG7"/>
  <c r="AF7"/>
  <c r="AE7"/>
  <c r="AD7"/>
  <c r="AC7"/>
  <c r="AB7"/>
  <c r="AA7"/>
  <c r="F7"/>
  <c r="AN6"/>
  <c r="AM6"/>
  <c r="AI6"/>
  <c r="AH6"/>
  <c r="AG6"/>
  <c r="AF6"/>
  <c r="AE6"/>
  <c r="AD6"/>
  <c r="AC6"/>
  <c r="AB6"/>
  <c r="AA6"/>
  <c r="F6"/>
  <c r="AS5"/>
  <c r="AR5"/>
  <c r="AQ5"/>
  <c r="AP5"/>
  <c r="AL5"/>
  <c r="AK5"/>
  <c r="AC5"/>
  <c r="Z5"/>
  <c r="AG5" s="1"/>
  <c r="Y5"/>
  <c r="X5"/>
  <c r="W5"/>
  <c r="V5"/>
  <c r="U5"/>
  <c r="T5"/>
  <c r="S5"/>
  <c r="R5"/>
  <c r="Q5"/>
  <c r="P5"/>
  <c r="O5"/>
  <c r="N5"/>
  <c r="M5"/>
  <c r="L5"/>
  <c r="K5"/>
  <c r="J5"/>
  <c r="I5"/>
  <c r="H5"/>
  <c r="R356" i="4" l="1"/>
  <c r="G355"/>
  <c r="G251"/>
  <c r="G250" s="1"/>
  <c r="G249" s="1"/>
  <c r="Q305"/>
  <c r="Q347"/>
  <c r="Q375"/>
  <c r="L252"/>
  <c r="K252"/>
  <c r="J320"/>
  <c r="G8"/>
  <c r="G7" s="1"/>
  <c r="G6" s="1"/>
  <c r="P238"/>
  <c r="H321"/>
  <c r="H320" s="1"/>
  <c r="L339"/>
  <c r="R10"/>
  <c r="R20"/>
  <c r="Q34"/>
  <c r="P65"/>
  <c r="Q77"/>
  <c r="J94"/>
  <c r="N94" s="1"/>
  <c r="P95"/>
  <c r="O97"/>
  <c r="M98"/>
  <c r="R109"/>
  <c r="I123"/>
  <c r="I122" s="1"/>
  <c r="L122" s="1"/>
  <c r="M124"/>
  <c r="N137"/>
  <c r="Q144"/>
  <c r="Q149"/>
  <c r="Q153"/>
  <c r="P172"/>
  <c r="Q172"/>
  <c r="N174"/>
  <c r="N186"/>
  <c r="I188"/>
  <c r="R201"/>
  <c r="Q207"/>
  <c r="N217"/>
  <c r="J228"/>
  <c r="N233"/>
  <c r="J237"/>
  <c r="J236" s="1"/>
  <c r="J235" s="1"/>
  <c r="J242"/>
  <c r="O242" s="1"/>
  <c r="K243"/>
  <c r="N253"/>
  <c r="I256"/>
  <c r="J276"/>
  <c r="P276" s="1"/>
  <c r="P308"/>
  <c r="M322"/>
  <c r="R329"/>
  <c r="J339"/>
  <c r="N339" s="1"/>
  <c r="L340"/>
  <c r="J347"/>
  <c r="N357"/>
  <c r="Q376"/>
  <c r="H383"/>
  <c r="M384"/>
  <c r="Q94"/>
  <c r="G131"/>
  <c r="G130" s="1"/>
  <c r="G129" s="1"/>
  <c r="J216"/>
  <c r="N216" s="1"/>
  <c r="Q243"/>
  <c r="Q306"/>
  <c r="Q329"/>
  <c r="N377"/>
  <c r="I10"/>
  <c r="L10" s="1"/>
  <c r="L17"/>
  <c r="I20"/>
  <c r="L20" s="1"/>
  <c r="Q60"/>
  <c r="H76"/>
  <c r="K89"/>
  <c r="Q92"/>
  <c r="L98"/>
  <c r="K99"/>
  <c r="K115"/>
  <c r="L137"/>
  <c r="K144"/>
  <c r="K150"/>
  <c r="K174"/>
  <c r="R179"/>
  <c r="K186"/>
  <c r="N189"/>
  <c r="P207"/>
  <c r="K213"/>
  <c r="R237"/>
  <c r="K253"/>
  <c r="H255"/>
  <c r="R255" s="1"/>
  <c r="O277"/>
  <c r="K298"/>
  <c r="G327"/>
  <c r="G326" s="1"/>
  <c r="G325" s="1"/>
  <c r="H346"/>
  <c r="L357"/>
  <c r="I376"/>
  <c r="K376" s="1"/>
  <c r="K377"/>
  <c r="I114"/>
  <c r="O201"/>
  <c r="P340"/>
  <c r="N35"/>
  <c r="L52"/>
  <c r="P64"/>
  <c r="M65"/>
  <c r="Q69"/>
  <c r="J82"/>
  <c r="P82" s="1"/>
  <c r="M83"/>
  <c r="I88"/>
  <c r="N88" s="1"/>
  <c r="L94"/>
  <c r="R98"/>
  <c r="Q98"/>
  <c r="Q114"/>
  <c r="P137"/>
  <c r="I149"/>
  <c r="L149" s="1"/>
  <c r="H158"/>
  <c r="Q164"/>
  <c r="K179"/>
  <c r="Q188"/>
  <c r="N201"/>
  <c r="M207"/>
  <c r="K229"/>
  <c r="J232"/>
  <c r="P232" s="1"/>
  <c r="M233"/>
  <c r="N238"/>
  <c r="R242"/>
  <c r="L243"/>
  <c r="Q253"/>
  <c r="Q261"/>
  <c r="Q266"/>
  <c r="M277"/>
  <c r="P277"/>
  <c r="G275"/>
  <c r="G274" s="1"/>
  <c r="G273" s="1"/>
  <c r="Q322"/>
  <c r="N332"/>
  <c r="H334"/>
  <c r="Q334" s="1"/>
  <c r="L335"/>
  <c r="H339"/>
  <c r="Q339" s="1"/>
  <c r="K340"/>
  <c r="N343"/>
  <c r="Q348"/>
  <c r="Q350"/>
  <c r="Q357"/>
  <c r="M60"/>
  <c r="P60"/>
  <c r="O109"/>
  <c r="N109"/>
  <c r="M109"/>
  <c r="I133"/>
  <c r="N133" s="1"/>
  <c r="L134"/>
  <c r="K134"/>
  <c r="L171"/>
  <c r="K171"/>
  <c r="N171"/>
  <c r="H199"/>
  <c r="Q200"/>
  <c r="R200"/>
  <c r="L264"/>
  <c r="K264"/>
  <c r="I263"/>
  <c r="M264"/>
  <c r="N11"/>
  <c r="M17"/>
  <c r="P17"/>
  <c r="N21"/>
  <c r="N31"/>
  <c r="Q33"/>
  <c r="H41"/>
  <c r="R42"/>
  <c r="Q42"/>
  <c r="L43"/>
  <c r="K43"/>
  <c r="I42"/>
  <c r="L51"/>
  <c r="K51"/>
  <c r="M52"/>
  <c r="P52"/>
  <c r="O52"/>
  <c r="J51"/>
  <c r="N60"/>
  <c r="H81"/>
  <c r="R83"/>
  <c r="G82"/>
  <c r="G81" s="1"/>
  <c r="G80" s="1"/>
  <c r="G79" s="1"/>
  <c r="Q83"/>
  <c r="R88"/>
  <c r="G88"/>
  <c r="O89"/>
  <c r="K92"/>
  <c r="M92"/>
  <c r="L92"/>
  <c r="I91"/>
  <c r="P109"/>
  <c r="R132"/>
  <c r="Q140"/>
  <c r="H139"/>
  <c r="H131" s="1"/>
  <c r="R140"/>
  <c r="G319"/>
  <c r="G318"/>
  <c r="G317" s="1"/>
  <c r="H9"/>
  <c r="K10"/>
  <c r="O11"/>
  <c r="J10"/>
  <c r="P11"/>
  <c r="K17"/>
  <c r="Q17"/>
  <c r="H19"/>
  <c r="K20"/>
  <c r="O21"/>
  <c r="J20"/>
  <c r="P21"/>
  <c r="K29"/>
  <c r="K31"/>
  <c r="P34"/>
  <c r="N43"/>
  <c r="J75"/>
  <c r="P76"/>
  <c r="O83"/>
  <c r="K88"/>
  <c r="M88"/>
  <c r="L88"/>
  <c r="R91"/>
  <c r="M107"/>
  <c r="N107"/>
  <c r="P107"/>
  <c r="R123"/>
  <c r="Q123"/>
  <c r="H122"/>
  <c r="M133"/>
  <c r="J132"/>
  <c r="P133"/>
  <c r="M134"/>
  <c r="M144"/>
  <c r="P144"/>
  <c r="N144"/>
  <c r="H209"/>
  <c r="Q209" s="1"/>
  <c r="Q210"/>
  <c r="K210"/>
  <c r="L210"/>
  <c r="L291"/>
  <c r="M291"/>
  <c r="K291"/>
  <c r="I287"/>
  <c r="P97"/>
  <c r="M97"/>
  <c r="I9"/>
  <c r="Q10"/>
  <c r="L11"/>
  <c r="I19"/>
  <c r="Q20"/>
  <c r="L21"/>
  <c r="P29"/>
  <c r="M31"/>
  <c r="M43"/>
  <c r="N52"/>
  <c r="H63"/>
  <c r="R64"/>
  <c r="Q64"/>
  <c r="L65"/>
  <c r="K65"/>
  <c r="I64"/>
  <c r="M64" s="1"/>
  <c r="L69"/>
  <c r="K69"/>
  <c r="I68"/>
  <c r="L77"/>
  <c r="I76"/>
  <c r="K77"/>
  <c r="N92"/>
  <c r="P113"/>
  <c r="J112"/>
  <c r="Q132"/>
  <c r="P140"/>
  <c r="I191"/>
  <c r="I34"/>
  <c r="L35"/>
  <c r="J41"/>
  <c r="M42"/>
  <c r="J63"/>
  <c r="J69"/>
  <c r="M70"/>
  <c r="H75"/>
  <c r="G76"/>
  <c r="R77"/>
  <c r="J81"/>
  <c r="I82"/>
  <c r="L83"/>
  <c r="P83"/>
  <c r="O88"/>
  <c r="P88"/>
  <c r="R89"/>
  <c r="L89"/>
  <c r="Q89"/>
  <c r="O92"/>
  <c r="P92"/>
  <c r="K95"/>
  <c r="Q95"/>
  <c r="M99"/>
  <c r="Q109"/>
  <c r="Q112"/>
  <c r="Q113"/>
  <c r="R114"/>
  <c r="M115"/>
  <c r="I121"/>
  <c r="N134"/>
  <c r="K137"/>
  <c r="J139"/>
  <c r="O140"/>
  <c r="M150"/>
  <c r="P150"/>
  <c r="J149"/>
  <c r="H148"/>
  <c r="G148"/>
  <c r="G147" s="1"/>
  <c r="G146" s="1"/>
  <c r="M171"/>
  <c r="P171"/>
  <c r="M189"/>
  <c r="P189"/>
  <c r="J188"/>
  <c r="K216"/>
  <c r="M216"/>
  <c r="L216"/>
  <c r="I215"/>
  <c r="L217"/>
  <c r="M217"/>
  <c r="K217"/>
  <c r="O257"/>
  <c r="J256"/>
  <c r="N257"/>
  <c r="M257"/>
  <c r="P257"/>
  <c r="N42"/>
  <c r="L60"/>
  <c r="N70"/>
  <c r="N82"/>
  <c r="O91"/>
  <c r="N98"/>
  <c r="N99"/>
  <c r="Q107"/>
  <c r="H97"/>
  <c r="L107"/>
  <c r="R107"/>
  <c r="N114"/>
  <c r="N115"/>
  <c r="O124"/>
  <c r="J123"/>
  <c r="P124"/>
  <c r="I140"/>
  <c r="M141"/>
  <c r="L141"/>
  <c r="L153"/>
  <c r="K153"/>
  <c r="I152"/>
  <c r="L164"/>
  <c r="K164"/>
  <c r="L172"/>
  <c r="K172"/>
  <c r="R174"/>
  <c r="Q174"/>
  <c r="G171"/>
  <c r="I170"/>
  <c r="K177"/>
  <c r="R177"/>
  <c r="Q177"/>
  <c r="P177"/>
  <c r="Q195"/>
  <c r="K195"/>
  <c r="H194"/>
  <c r="P199"/>
  <c r="J198"/>
  <c r="R212"/>
  <c r="G212"/>
  <c r="O213"/>
  <c r="P222"/>
  <c r="N222"/>
  <c r="M222"/>
  <c r="J215"/>
  <c r="G228"/>
  <c r="G227" s="1"/>
  <c r="G226" s="1"/>
  <c r="Q229"/>
  <c r="M297"/>
  <c r="P297"/>
  <c r="N297"/>
  <c r="J33"/>
  <c r="O42"/>
  <c r="O64"/>
  <c r="J87"/>
  <c r="N89"/>
  <c r="R92"/>
  <c r="M94"/>
  <c r="P94"/>
  <c r="M95"/>
  <c r="I97"/>
  <c r="N97" s="1"/>
  <c r="O98"/>
  <c r="P98"/>
  <c r="O99"/>
  <c r="K109"/>
  <c r="O114"/>
  <c r="P114"/>
  <c r="O115"/>
  <c r="Q133"/>
  <c r="N141"/>
  <c r="L159"/>
  <c r="I158"/>
  <c r="K159"/>
  <c r="M160"/>
  <c r="P160"/>
  <c r="O160"/>
  <c r="J159"/>
  <c r="N172"/>
  <c r="O174"/>
  <c r="M179"/>
  <c r="P179"/>
  <c r="O179"/>
  <c r="J176"/>
  <c r="H184"/>
  <c r="R186"/>
  <c r="G185"/>
  <c r="G184" s="1"/>
  <c r="G183" s="1"/>
  <c r="G182" s="1"/>
  <c r="Q186"/>
  <c r="L188"/>
  <c r="K188"/>
  <c r="O199"/>
  <c r="N206"/>
  <c r="I206"/>
  <c r="M206" s="1"/>
  <c r="L207"/>
  <c r="K207"/>
  <c r="K212"/>
  <c r="M212"/>
  <c r="L212"/>
  <c r="H227"/>
  <c r="K228"/>
  <c r="L228"/>
  <c r="M261"/>
  <c r="J260"/>
  <c r="N261"/>
  <c r="P261"/>
  <c r="O261"/>
  <c r="P141"/>
  <c r="J153"/>
  <c r="M154"/>
  <c r="J164"/>
  <c r="M165"/>
  <c r="R172"/>
  <c r="L174"/>
  <c r="P174"/>
  <c r="M177"/>
  <c r="J184"/>
  <c r="I185"/>
  <c r="M185" s="1"/>
  <c r="L186"/>
  <c r="P186"/>
  <c r="L195"/>
  <c r="N195"/>
  <c r="I200"/>
  <c r="N200" s="1"/>
  <c r="K201"/>
  <c r="P201"/>
  <c r="N207"/>
  <c r="J209"/>
  <c r="O212"/>
  <c r="P212"/>
  <c r="R213"/>
  <c r="L213"/>
  <c r="Q213"/>
  <c r="O216"/>
  <c r="P216"/>
  <c r="O217"/>
  <c r="L229"/>
  <c r="I232"/>
  <c r="L237"/>
  <c r="I236"/>
  <c r="K237"/>
  <c r="R260"/>
  <c r="Q260"/>
  <c r="L260"/>
  <c r="K260"/>
  <c r="Q298"/>
  <c r="G297"/>
  <c r="G296" s="1"/>
  <c r="G295" s="1"/>
  <c r="G272" s="1"/>
  <c r="Q307"/>
  <c r="R331"/>
  <c r="Q331"/>
  <c r="H327"/>
  <c r="L144"/>
  <c r="L150"/>
  <c r="Q150"/>
  <c r="N154"/>
  <c r="N165"/>
  <c r="M174"/>
  <c r="N177"/>
  <c r="L179"/>
  <c r="L189"/>
  <c r="Q189"/>
  <c r="P195"/>
  <c r="O200"/>
  <c r="P200"/>
  <c r="L201"/>
  <c r="Q201"/>
  <c r="M210"/>
  <c r="P210"/>
  <c r="Q236"/>
  <c r="H235"/>
  <c r="M237"/>
  <c r="R275"/>
  <c r="Q275"/>
  <c r="H274"/>
  <c r="P288"/>
  <c r="J287"/>
  <c r="N288"/>
  <c r="M288"/>
  <c r="L302"/>
  <c r="I301"/>
  <c r="K302"/>
  <c r="N302"/>
  <c r="M302"/>
  <c r="Q314"/>
  <c r="H313"/>
  <c r="Q315"/>
  <c r="H176"/>
  <c r="L176" s="1"/>
  <c r="O177"/>
  <c r="O185"/>
  <c r="J194"/>
  <c r="N213"/>
  <c r="H215"/>
  <c r="R216"/>
  <c r="K222"/>
  <c r="L233"/>
  <c r="K233"/>
  <c r="P242"/>
  <c r="N242"/>
  <c r="M242"/>
  <c r="N263"/>
  <c r="J318"/>
  <c r="P320"/>
  <c r="J319"/>
  <c r="P347"/>
  <c r="J346"/>
  <c r="M228"/>
  <c r="P228"/>
  <c r="M229"/>
  <c r="G235"/>
  <c r="G231" s="1"/>
  <c r="G225" s="1"/>
  <c r="O238"/>
  <c r="K242"/>
  <c r="Q242"/>
  <c r="M243"/>
  <c r="R243"/>
  <c r="M244"/>
  <c r="Q252"/>
  <c r="L253"/>
  <c r="Q256"/>
  <c r="L257"/>
  <c r="K261"/>
  <c r="H263"/>
  <c r="M263"/>
  <c r="N264"/>
  <c r="O264"/>
  <c r="Q267"/>
  <c r="M268"/>
  <c r="Q287"/>
  <c r="N291"/>
  <c r="L298"/>
  <c r="M301"/>
  <c r="P301"/>
  <c r="J300"/>
  <c r="J296" s="1"/>
  <c r="P307"/>
  <c r="J306"/>
  <c r="K308"/>
  <c r="L315"/>
  <c r="K322"/>
  <c r="Q328"/>
  <c r="R328"/>
  <c r="N244"/>
  <c r="J252"/>
  <c r="L261"/>
  <c r="R261"/>
  <c r="P264"/>
  <c r="L268"/>
  <c r="I267"/>
  <c r="N268"/>
  <c r="Q276"/>
  <c r="R276"/>
  <c r="K277"/>
  <c r="I276"/>
  <c r="M276" s="1"/>
  <c r="K297"/>
  <c r="M298"/>
  <c r="P315"/>
  <c r="J314"/>
  <c r="N315"/>
  <c r="G354"/>
  <c r="G353" s="1"/>
  <c r="G352" s="1"/>
  <c r="R355"/>
  <c r="L364"/>
  <c r="Q364"/>
  <c r="K364"/>
  <c r="H363"/>
  <c r="O243"/>
  <c r="P243"/>
  <c r="O244"/>
  <c r="M253"/>
  <c r="P253"/>
  <c r="O263"/>
  <c r="Q264"/>
  <c r="O276"/>
  <c r="K288"/>
  <c r="L288"/>
  <c r="H296"/>
  <c r="Q300"/>
  <c r="Q301"/>
  <c r="L308"/>
  <c r="I307"/>
  <c r="N307" s="1"/>
  <c r="I313"/>
  <c r="K314"/>
  <c r="I321"/>
  <c r="L322"/>
  <c r="P329"/>
  <c r="O329"/>
  <c r="J328"/>
  <c r="M329"/>
  <c r="M335"/>
  <c r="P335"/>
  <c r="J334"/>
  <c r="N335"/>
  <c r="P371"/>
  <c r="N371"/>
  <c r="M371"/>
  <c r="J370"/>
  <c r="R384"/>
  <c r="G383"/>
  <c r="G382" s="1"/>
  <c r="G381" s="1"/>
  <c r="G360" s="1"/>
  <c r="G359" s="1"/>
  <c r="Q384"/>
  <c r="O384"/>
  <c r="N298"/>
  <c r="Q308"/>
  <c r="M308"/>
  <c r="Q321"/>
  <c r="N322"/>
  <c r="R332"/>
  <c r="Q332"/>
  <c r="M339"/>
  <c r="P339"/>
  <c r="Q354"/>
  <c r="L370"/>
  <c r="I369"/>
  <c r="K370"/>
  <c r="L334"/>
  <c r="K334"/>
  <c r="P356"/>
  <c r="N356"/>
  <c r="M356"/>
  <c r="J355"/>
  <c r="K315"/>
  <c r="Q320"/>
  <c r="L329"/>
  <c r="I328"/>
  <c r="K329"/>
  <c r="I338"/>
  <c r="K343"/>
  <c r="H342"/>
  <c r="L342" s="1"/>
  <c r="R343"/>
  <c r="Q343"/>
  <c r="P343"/>
  <c r="M349"/>
  <c r="I349"/>
  <c r="L350"/>
  <c r="K350"/>
  <c r="O356"/>
  <c r="I331"/>
  <c r="P332"/>
  <c r="K335"/>
  <c r="K339"/>
  <c r="J342"/>
  <c r="M343"/>
  <c r="Q349"/>
  <c r="N350"/>
  <c r="P350"/>
  <c r="H353"/>
  <c r="Q355"/>
  <c r="Q356"/>
  <c r="M357"/>
  <c r="R357"/>
  <c r="M365"/>
  <c r="J364"/>
  <c r="P365"/>
  <c r="L371"/>
  <c r="P377"/>
  <c r="M377"/>
  <c r="J376"/>
  <c r="J331"/>
  <c r="M332"/>
  <c r="M340"/>
  <c r="G342"/>
  <c r="G338" s="1"/>
  <c r="G337" s="1"/>
  <c r="G324" s="1"/>
  <c r="H382"/>
  <c r="P383"/>
  <c r="L384"/>
  <c r="I383"/>
  <c r="R354"/>
  <c r="L356"/>
  <c r="I355"/>
  <c r="O357"/>
  <c r="P357"/>
  <c r="Q370"/>
  <c r="L376"/>
  <c r="I375"/>
  <c r="M383"/>
  <c r="J382"/>
  <c r="N384"/>
  <c r="P384"/>
  <c r="AO26" i="3"/>
  <c r="AF32"/>
  <c r="AO41"/>
  <c r="N48"/>
  <c r="R48"/>
  <c r="V48"/>
  <c r="Z48"/>
  <c r="AJ35" s="1"/>
  <c r="AP48"/>
  <c r="AI5"/>
  <c r="AB12"/>
  <c r="AI12"/>
  <c r="AO14"/>
  <c r="AD19"/>
  <c r="J48"/>
  <c r="AG26"/>
  <c r="AG35"/>
  <c r="AB39"/>
  <c r="AH41"/>
  <c r="AM41"/>
  <c r="AK48"/>
  <c r="AK49" s="1"/>
  <c r="AE14"/>
  <c r="AA19"/>
  <c r="AO19"/>
  <c r="AO32"/>
  <c r="AO39"/>
  <c r="AN41"/>
  <c r="H48"/>
  <c r="P48"/>
  <c r="T48"/>
  <c r="AL48"/>
  <c r="AR48"/>
  <c r="D48"/>
  <c r="AI19"/>
  <c r="AN5"/>
  <c r="AA12"/>
  <c r="AO12"/>
  <c r="AB14"/>
  <c r="AI14"/>
  <c r="AH19"/>
  <c r="AM19"/>
  <c r="F19"/>
  <c r="AI26"/>
  <c r="AC30"/>
  <c r="AA32"/>
  <c r="AH35"/>
  <c r="AB35"/>
  <c r="AN35"/>
  <c r="AC39"/>
  <c r="AM39"/>
  <c r="AD41"/>
  <c r="I48"/>
  <c r="M48"/>
  <c r="Q48"/>
  <c r="U48"/>
  <c r="AA43"/>
  <c r="AN43"/>
  <c r="E48"/>
  <c r="F48"/>
  <c r="J47"/>
  <c r="J46" s="1"/>
  <c r="K48"/>
  <c r="G48"/>
  <c r="AB5"/>
  <c r="AA5"/>
  <c r="AO47"/>
  <c r="AO46"/>
  <c r="AO42"/>
  <c r="AO40"/>
  <c r="AO37"/>
  <c r="AO28"/>
  <c r="AO25"/>
  <c r="AO24"/>
  <c r="AO22"/>
  <c r="AO17"/>
  <c r="AM48"/>
  <c r="AO48"/>
  <c r="AO44"/>
  <c r="AO36"/>
  <c r="AO33"/>
  <c r="AO31"/>
  <c r="AO21"/>
  <c r="AO16"/>
  <c r="AO10"/>
  <c r="AO9"/>
  <c r="AO6"/>
  <c r="AO38"/>
  <c r="AO35"/>
  <c r="AO30"/>
  <c r="AO43"/>
  <c r="AO29"/>
  <c r="AO27"/>
  <c r="AO23"/>
  <c r="AO45"/>
  <c r="AO34"/>
  <c r="AS48"/>
  <c r="O48"/>
  <c r="S48"/>
  <c r="W48"/>
  <c r="AQ48"/>
  <c r="AJ36"/>
  <c r="AJ16"/>
  <c r="AJ6"/>
  <c r="AE48"/>
  <c r="AJ25"/>
  <c r="AG48"/>
  <c r="AJ23"/>
  <c r="AJ8"/>
  <c r="AJ45"/>
  <c r="AJ41"/>
  <c r="AJ20"/>
  <c r="AJ18"/>
  <c r="AJ11"/>
  <c r="AJ7"/>
  <c r="AJ40"/>
  <c r="AJ37"/>
  <c r="AP49"/>
  <c r="AJ30"/>
  <c r="AD5"/>
  <c r="AH5"/>
  <c r="AF12"/>
  <c r="AJ12"/>
  <c r="AF14"/>
  <c r="AN14"/>
  <c r="AF19"/>
  <c r="AN19"/>
  <c r="AA26"/>
  <c r="AE26"/>
  <c r="AM26"/>
  <c r="AA30"/>
  <c r="AF30"/>
  <c r="AB32"/>
  <c r="AM32"/>
  <c r="AD35"/>
  <c r="AD39"/>
  <c r="AJ39"/>
  <c r="AB41"/>
  <c r="AF41"/>
  <c r="AC43"/>
  <c r="AG43"/>
  <c r="X48"/>
  <c r="AD26"/>
  <c r="AC35"/>
  <c r="AF43"/>
  <c r="AE5"/>
  <c r="AM5"/>
  <c r="AC12"/>
  <c r="AG12"/>
  <c r="AC14"/>
  <c r="AG14"/>
  <c r="AC19"/>
  <c r="AG19"/>
  <c r="AH25"/>
  <c r="AF26"/>
  <c r="AJ26"/>
  <c r="AN26"/>
  <c r="AG30"/>
  <c r="AC32"/>
  <c r="AJ32"/>
  <c r="AA35"/>
  <c r="AE35"/>
  <c r="AM35"/>
  <c r="AA39"/>
  <c r="AF39"/>
  <c r="AC41"/>
  <c r="AG41"/>
  <c r="AD43"/>
  <c r="AH43"/>
  <c r="AH47"/>
  <c r="Y48"/>
  <c r="AD30"/>
  <c r="AB43"/>
  <c r="AF5"/>
  <c r="AE25"/>
  <c r="AC26"/>
  <c r="AF35"/>
  <c r="AE43"/>
  <c r="AM43"/>
  <c r="AE47"/>
  <c r="K114" i="4" l="1"/>
  <c r="L114"/>
  <c r="L256"/>
  <c r="K256"/>
  <c r="N237"/>
  <c r="M232"/>
  <c r="K149"/>
  <c r="K122"/>
  <c r="I113"/>
  <c r="O82"/>
  <c r="K176"/>
  <c r="I205"/>
  <c r="K123"/>
  <c r="M114"/>
  <c r="H318"/>
  <c r="H319"/>
  <c r="Q319" s="1"/>
  <c r="P321"/>
  <c r="R383"/>
  <c r="I255"/>
  <c r="Q255"/>
  <c r="N232"/>
  <c r="P237"/>
  <c r="R185"/>
  <c r="N64"/>
  <c r="M82"/>
  <c r="L123"/>
  <c r="N228"/>
  <c r="J227"/>
  <c r="Q346"/>
  <c r="H345"/>
  <c r="Q345" s="1"/>
  <c r="O237"/>
  <c r="Q158"/>
  <c r="R158"/>
  <c r="I204"/>
  <c r="I320"/>
  <c r="K321"/>
  <c r="L321"/>
  <c r="Q296"/>
  <c r="H295"/>
  <c r="Q295" s="1"/>
  <c r="H362"/>
  <c r="L363"/>
  <c r="Q363"/>
  <c r="K363"/>
  <c r="I266"/>
  <c r="I251" s="1"/>
  <c r="L267"/>
  <c r="K267"/>
  <c r="R263"/>
  <c r="Q263"/>
  <c r="K255"/>
  <c r="L255"/>
  <c r="P319"/>
  <c r="Q215"/>
  <c r="R215"/>
  <c r="H312"/>
  <c r="Q313"/>
  <c r="H273"/>
  <c r="R274"/>
  <c r="Q274"/>
  <c r="R235"/>
  <c r="H231"/>
  <c r="Q235"/>
  <c r="R327"/>
  <c r="Q327"/>
  <c r="H326"/>
  <c r="H205"/>
  <c r="Q227"/>
  <c r="K227"/>
  <c r="H226"/>
  <c r="P176"/>
  <c r="J170"/>
  <c r="O176"/>
  <c r="N176"/>
  <c r="M176"/>
  <c r="L113"/>
  <c r="I112"/>
  <c r="N112" s="1"/>
  <c r="K113"/>
  <c r="P215"/>
  <c r="O215"/>
  <c r="N215"/>
  <c r="M215"/>
  <c r="H193"/>
  <c r="Q194"/>
  <c r="K194"/>
  <c r="R171"/>
  <c r="G170"/>
  <c r="G169" s="1"/>
  <c r="G168" s="1"/>
  <c r="G128" s="1"/>
  <c r="K140"/>
  <c r="N140"/>
  <c r="L140"/>
  <c r="I139"/>
  <c r="N139" s="1"/>
  <c r="N256"/>
  <c r="O256"/>
  <c r="M256"/>
  <c r="J255"/>
  <c r="P256"/>
  <c r="G75"/>
  <c r="G74" s="1"/>
  <c r="G73" s="1"/>
  <c r="R76"/>
  <c r="P69"/>
  <c r="J68"/>
  <c r="N69"/>
  <c r="M69"/>
  <c r="P41"/>
  <c r="O41"/>
  <c r="J40"/>
  <c r="K34"/>
  <c r="L34"/>
  <c r="I33"/>
  <c r="M113"/>
  <c r="K68"/>
  <c r="L68"/>
  <c r="R63"/>
  <c r="Q63"/>
  <c r="K19"/>
  <c r="L19"/>
  <c r="I87"/>
  <c r="H130"/>
  <c r="R131"/>
  <c r="Q131"/>
  <c r="L91"/>
  <c r="K91"/>
  <c r="M91"/>
  <c r="H80"/>
  <c r="R81"/>
  <c r="Q81"/>
  <c r="K263"/>
  <c r="L263"/>
  <c r="P382"/>
  <c r="N382"/>
  <c r="O382"/>
  <c r="J381"/>
  <c r="L375"/>
  <c r="K375"/>
  <c r="Q383"/>
  <c r="H352"/>
  <c r="R353"/>
  <c r="Q353"/>
  <c r="P252"/>
  <c r="N252"/>
  <c r="M252"/>
  <c r="P300"/>
  <c r="P318"/>
  <c r="J317"/>
  <c r="H251"/>
  <c r="R176"/>
  <c r="H170"/>
  <c r="Q176"/>
  <c r="N301"/>
  <c r="L301"/>
  <c r="I300"/>
  <c r="M300" s="1"/>
  <c r="K301"/>
  <c r="P287"/>
  <c r="J275"/>
  <c r="N287"/>
  <c r="M287"/>
  <c r="P227"/>
  <c r="K236"/>
  <c r="L236"/>
  <c r="I235"/>
  <c r="P153"/>
  <c r="J152"/>
  <c r="N153"/>
  <c r="M153"/>
  <c r="Q185"/>
  <c r="I148"/>
  <c r="L158"/>
  <c r="K158"/>
  <c r="N87"/>
  <c r="J86"/>
  <c r="M87"/>
  <c r="N33"/>
  <c r="M33"/>
  <c r="P33"/>
  <c r="Q212"/>
  <c r="G205"/>
  <c r="G204" s="1"/>
  <c r="G203" s="1"/>
  <c r="L170"/>
  <c r="I169"/>
  <c r="K170"/>
  <c r="R97"/>
  <c r="Q97"/>
  <c r="P188"/>
  <c r="N188"/>
  <c r="M188"/>
  <c r="O171"/>
  <c r="P139"/>
  <c r="O139"/>
  <c r="I120"/>
  <c r="H87"/>
  <c r="P87" s="1"/>
  <c r="K82"/>
  <c r="L82"/>
  <c r="I81"/>
  <c r="M81" s="1"/>
  <c r="H74"/>
  <c r="N113"/>
  <c r="L287"/>
  <c r="K287"/>
  <c r="I275"/>
  <c r="H121"/>
  <c r="L121" s="1"/>
  <c r="R122"/>
  <c r="Q122"/>
  <c r="J74"/>
  <c r="P75"/>
  <c r="N20"/>
  <c r="M20"/>
  <c r="P20"/>
  <c r="O20"/>
  <c r="J19"/>
  <c r="R19"/>
  <c r="Q19"/>
  <c r="N10"/>
  <c r="M10"/>
  <c r="P10"/>
  <c r="O10"/>
  <c r="J9"/>
  <c r="H8"/>
  <c r="R9"/>
  <c r="Q9"/>
  <c r="Q88"/>
  <c r="G87"/>
  <c r="G86" s="1"/>
  <c r="G85" s="1"/>
  <c r="G5" s="1"/>
  <c r="Q76"/>
  <c r="R199"/>
  <c r="Q199"/>
  <c r="H198"/>
  <c r="N376"/>
  <c r="J375"/>
  <c r="P376"/>
  <c r="M376"/>
  <c r="K383"/>
  <c r="L383"/>
  <c r="I382"/>
  <c r="R382"/>
  <c r="H381"/>
  <c r="Q382"/>
  <c r="N364"/>
  <c r="P364"/>
  <c r="J363"/>
  <c r="M364"/>
  <c r="P342"/>
  <c r="J338"/>
  <c r="O342"/>
  <c r="N342"/>
  <c r="M342"/>
  <c r="K331"/>
  <c r="I327"/>
  <c r="L331"/>
  <c r="I348"/>
  <c r="L349"/>
  <c r="K349"/>
  <c r="I337"/>
  <c r="L328"/>
  <c r="K328"/>
  <c r="N383"/>
  <c r="P334"/>
  <c r="N334"/>
  <c r="M334"/>
  <c r="K313"/>
  <c r="I312"/>
  <c r="L313"/>
  <c r="P263"/>
  <c r="N321"/>
  <c r="G224"/>
  <c r="P346"/>
  <c r="J345"/>
  <c r="N235"/>
  <c r="J231"/>
  <c r="O235"/>
  <c r="P235"/>
  <c r="N194"/>
  <c r="M194"/>
  <c r="J193"/>
  <c r="P194"/>
  <c r="N267"/>
  <c r="L227"/>
  <c r="M209"/>
  <c r="P209"/>
  <c r="N209"/>
  <c r="L194"/>
  <c r="K185"/>
  <c r="L185"/>
  <c r="I184"/>
  <c r="M184" s="1"/>
  <c r="P164"/>
  <c r="N164"/>
  <c r="M164"/>
  <c r="L97"/>
  <c r="K97"/>
  <c r="N123"/>
  <c r="P123"/>
  <c r="O123"/>
  <c r="J122"/>
  <c r="M123"/>
  <c r="L215"/>
  <c r="K215"/>
  <c r="K209"/>
  <c r="Q148"/>
  <c r="H147"/>
  <c r="R148"/>
  <c r="M140"/>
  <c r="N91"/>
  <c r="P81"/>
  <c r="O81"/>
  <c r="N81"/>
  <c r="J80"/>
  <c r="P63"/>
  <c r="O63"/>
  <c r="L76"/>
  <c r="I75"/>
  <c r="K76"/>
  <c r="N76"/>
  <c r="Q171"/>
  <c r="O76"/>
  <c r="M76"/>
  <c r="R139"/>
  <c r="Q139"/>
  <c r="Q82"/>
  <c r="K42"/>
  <c r="L42"/>
  <c r="I41"/>
  <c r="M41" s="1"/>
  <c r="R342"/>
  <c r="H338"/>
  <c r="L338" s="1"/>
  <c r="Q342"/>
  <c r="M370"/>
  <c r="P370"/>
  <c r="N370"/>
  <c r="J369"/>
  <c r="O383"/>
  <c r="K355"/>
  <c r="L355"/>
  <c r="I354"/>
  <c r="O331"/>
  <c r="N331"/>
  <c r="J327"/>
  <c r="M331"/>
  <c r="P331"/>
  <c r="N349"/>
  <c r="K342"/>
  <c r="M355"/>
  <c r="J354"/>
  <c r="P355"/>
  <c r="O355"/>
  <c r="N355"/>
  <c r="K369"/>
  <c r="L369"/>
  <c r="I362"/>
  <c r="M328"/>
  <c r="P328"/>
  <c r="N328"/>
  <c r="O328"/>
  <c r="K307"/>
  <c r="I306"/>
  <c r="M306" s="1"/>
  <c r="M307"/>
  <c r="L307"/>
  <c r="Q297"/>
  <c r="M321"/>
  <c r="N314"/>
  <c r="M314"/>
  <c r="J313"/>
  <c r="P314"/>
  <c r="L276"/>
  <c r="K276"/>
  <c r="N306"/>
  <c r="P306"/>
  <c r="J305"/>
  <c r="N276"/>
  <c r="M236"/>
  <c r="P236"/>
  <c r="O236"/>
  <c r="N236"/>
  <c r="N185"/>
  <c r="M267"/>
  <c r="K232"/>
  <c r="L232"/>
  <c r="J205"/>
  <c r="K200"/>
  <c r="L200"/>
  <c r="I199"/>
  <c r="M200"/>
  <c r="P184"/>
  <c r="O184"/>
  <c r="J183"/>
  <c r="N260"/>
  <c r="P260"/>
  <c r="O260"/>
  <c r="M260"/>
  <c r="Q228"/>
  <c r="L206"/>
  <c r="K206"/>
  <c r="G181"/>
  <c r="H183"/>
  <c r="R184"/>
  <c r="Q184"/>
  <c r="P159"/>
  <c r="O159"/>
  <c r="N159"/>
  <c r="J158"/>
  <c r="M159"/>
  <c r="P296"/>
  <c r="J295"/>
  <c r="J197"/>
  <c r="P198"/>
  <c r="O198"/>
  <c r="K152"/>
  <c r="L152"/>
  <c r="N34"/>
  <c r="L209"/>
  <c r="P149"/>
  <c r="N149"/>
  <c r="M149"/>
  <c r="M34"/>
  <c r="M112"/>
  <c r="P112"/>
  <c r="O112"/>
  <c r="K64"/>
  <c r="I63"/>
  <c r="M63" s="1"/>
  <c r="L64"/>
  <c r="K9"/>
  <c r="L9"/>
  <c r="I8"/>
  <c r="P132"/>
  <c r="O132"/>
  <c r="J131"/>
  <c r="R82"/>
  <c r="P51"/>
  <c r="O51"/>
  <c r="N51"/>
  <c r="M51"/>
  <c r="H40"/>
  <c r="R41"/>
  <c r="Q41"/>
  <c r="L133"/>
  <c r="I132"/>
  <c r="K133"/>
  <c r="AJ14" i="3"/>
  <c r="AJ31"/>
  <c r="AJ42"/>
  <c r="AJ13"/>
  <c r="AJ34"/>
  <c r="AJ48"/>
  <c r="AJ27"/>
  <c r="AJ43"/>
  <c r="AJ9"/>
  <c r="AJ44"/>
  <c r="AN48"/>
  <c r="AJ5"/>
  <c r="AO18"/>
  <c r="AO15"/>
  <c r="AO11"/>
  <c r="AO20"/>
  <c r="AO5"/>
  <c r="AO13"/>
  <c r="AO7"/>
  <c r="AO8"/>
  <c r="AJ22"/>
  <c r="AJ24"/>
  <c r="AJ17"/>
  <c r="AJ21"/>
  <c r="AJ19"/>
  <c r="AJ33"/>
  <c r="AJ46"/>
  <c r="AJ15"/>
  <c r="AJ38"/>
  <c r="AJ28"/>
  <c r="AJ29"/>
  <c r="AJ47"/>
  <c r="AJ10"/>
  <c r="AA48"/>
  <c r="AB48"/>
  <c r="AC48"/>
  <c r="AD48"/>
  <c r="L45"/>
  <c r="L34"/>
  <c r="L46"/>
  <c r="L32"/>
  <c r="L47"/>
  <c r="L25"/>
  <c r="AH48"/>
  <c r="AI48"/>
  <c r="AF48"/>
  <c r="AQ49"/>
  <c r="M227" i="4" l="1"/>
  <c r="J226"/>
  <c r="N227"/>
  <c r="R75"/>
  <c r="M139"/>
  <c r="H317"/>
  <c r="Q317" s="1"/>
  <c r="Q318"/>
  <c r="G386"/>
  <c r="L8"/>
  <c r="I7"/>
  <c r="K8"/>
  <c r="L199"/>
  <c r="I198"/>
  <c r="K199"/>
  <c r="N199"/>
  <c r="M199"/>
  <c r="P305"/>
  <c r="N338"/>
  <c r="M338"/>
  <c r="J337"/>
  <c r="P338"/>
  <c r="O338"/>
  <c r="Q251"/>
  <c r="R251"/>
  <c r="H250"/>
  <c r="R130"/>
  <c r="Q130"/>
  <c r="H129"/>
  <c r="J39"/>
  <c r="P40"/>
  <c r="O40"/>
  <c r="Q312"/>
  <c r="H311"/>
  <c r="L362"/>
  <c r="K362"/>
  <c r="I361"/>
  <c r="L75"/>
  <c r="I74"/>
  <c r="N74" s="1"/>
  <c r="K75"/>
  <c r="P231"/>
  <c r="O231"/>
  <c r="J225"/>
  <c r="M75"/>
  <c r="Q121"/>
  <c r="H120"/>
  <c r="K120" s="1"/>
  <c r="R121"/>
  <c r="L81"/>
  <c r="I80"/>
  <c r="K81"/>
  <c r="K121"/>
  <c r="I168"/>
  <c r="O87"/>
  <c r="L148"/>
  <c r="I147"/>
  <c r="K148"/>
  <c r="O381"/>
  <c r="P381"/>
  <c r="L87"/>
  <c r="I86"/>
  <c r="N86" s="1"/>
  <c r="K87"/>
  <c r="L33"/>
  <c r="K33"/>
  <c r="P68"/>
  <c r="N68"/>
  <c r="M68"/>
  <c r="R205"/>
  <c r="H204"/>
  <c r="K204" s="1"/>
  <c r="Q205"/>
  <c r="L205"/>
  <c r="L63"/>
  <c r="K63"/>
  <c r="O197"/>
  <c r="M158"/>
  <c r="P158"/>
  <c r="O158"/>
  <c r="N158"/>
  <c r="J148"/>
  <c r="R338"/>
  <c r="Q338"/>
  <c r="H337"/>
  <c r="Q381"/>
  <c r="R381"/>
  <c r="L235"/>
  <c r="I231"/>
  <c r="N231" s="1"/>
  <c r="K235"/>
  <c r="R352"/>
  <c r="Q352"/>
  <c r="N170"/>
  <c r="M170"/>
  <c r="J169"/>
  <c r="P170"/>
  <c r="O170"/>
  <c r="L204"/>
  <c r="I203"/>
  <c r="J182"/>
  <c r="P183"/>
  <c r="O183"/>
  <c r="O131"/>
  <c r="J130"/>
  <c r="P131"/>
  <c r="P295"/>
  <c r="I305"/>
  <c r="N305" s="1"/>
  <c r="K306"/>
  <c r="L306"/>
  <c r="N327"/>
  <c r="M327"/>
  <c r="J326"/>
  <c r="O327"/>
  <c r="P327"/>
  <c r="L354"/>
  <c r="I353"/>
  <c r="K354"/>
  <c r="P369"/>
  <c r="N369"/>
  <c r="M369"/>
  <c r="L41"/>
  <c r="I40"/>
  <c r="N40" s="1"/>
  <c r="K41"/>
  <c r="N63"/>
  <c r="J79"/>
  <c r="P80"/>
  <c r="O80"/>
  <c r="O122"/>
  <c r="N122"/>
  <c r="M122"/>
  <c r="J121"/>
  <c r="P122"/>
  <c r="M235"/>
  <c r="L312"/>
  <c r="K312"/>
  <c r="I311"/>
  <c r="K327"/>
  <c r="L327"/>
  <c r="I326"/>
  <c r="L382"/>
  <c r="I381"/>
  <c r="N381" s="1"/>
  <c r="K382"/>
  <c r="Q198"/>
  <c r="H197"/>
  <c r="P197" s="1"/>
  <c r="R198"/>
  <c r="Q8"/>
  <c r="H7"/>
  <c r="R8"/>
  <c r="O75"/>
  <c r="N75"/>
  <c r="L275"/>
  <c r="I274"/>
  <c r="K275"/>
  <c r="H73"/>
  <c r="R74"/>
  <c r="Q74"/>
  <c r="L120"/>
  <c r="I119"/>
  <c r="O86"/>
  <c r="M86"/>
  <c r="J85"/>
  <c r="P152"/>
  <c r="N152"/>
  <c r="M152"/>
  <c r="L300"/>
  <c r="K300"/>
  <c r="I296"/>
  <c r="R170"/>
  <c r="Q170"/>
  <c r="H169"/>
  <c r="N300"/>
  <c r="M382"/>
  <c r="Q80"/>
  <c r="H79"/>
  <c r="R80"/>
  <c r="N41"/>
  <c r="O255"/>
  <c r="P255"/>
  <c r="N255"/>
  <c r="J251"/>
  <c r="M255"/>
  <c r="K112"/>
  <c r="L112"/>
  <c r="Q226"/>
  <c r="L226"/>
  <c r="K226"/>
  <c r="P226"/>
  <c r="R326"/>
  <c r="H325"/>
  <c r="Q326"/>
  <c r="H225"/>
  <c r="R231"/>
  <c r="Q231"/>
  <c r="Q273"/>
  <c r="H272"/>
  <c r="R273"/>
  <c r="L266"/>
  <c r="K266"/>
  <c r="N266"/>
  <c r="M266"/>
  <c r="Q362"/>
  <c r="H361"/>
  <c r="Q361" s="1"/>
  <c r="K205"/>
  <c r="N354"/>
  <c r="M354"/>
  <c r="J353"/>
  <c r="P354"/>
  <c r="O354"/>
  <c r="L184"/>
  <c r="I183"/>
  <c r="N183" s="1"/>
  <c r="K184"/>
  <c r="L348"/>
  <c r="I347"/>
  <c r="K348"/>
  <c r="M348"/>
  <c r="N348"/>
  <c r="O74"/>
  <c r="J73"/>
  <c r="P74"/>
  <c r="R87"/>
  <c r="H86"/>
  <c r="Q87"/>
  <c r="L251"/>
  <c r="I250"/>
  <c r="K251"/>
  <c r="K132"/>
  <c r="I131"/>
  <c r="L132"/>
  <c r="Q40"/>
  <c r="H39"/>
  <c r="R40"/>
  <c r="M132"/>
  <c r="N132"/>
  <c r="Q183"/>
  <c r="H182"/>
  <c r="R183"/>
  <c r="N184"/>
  <c r="N205"/>
  <c r="P205"/>
  <c r="O205"/>
  <c r="M205"/>
  <c r="J204"/>
  <c r="M313"/>
  <c r="N313"/>
  <c r="J312"/>
  <c r="P313"/>
  <c r="R147"/>
  <c r="Q147"/>
  <c r="H146"/>
  <c r="M193"/>
  <c r="P193"/>
  <c r="J192"/>
  <c r="N193"/>
  <c r="P345"/>
  <c r="K338"/>
  <c r="M363"/>
  <c r="P363"/>
  <c r="J362"/>
  <c r="N363"/>
  <c r="M375"/>
  <c r="P375"/>
  <c r="N375"/>
  <c r="O9"/>
  <c r="N9"/>
  <c r="M9"/>
  <c r="J8"/>
  <c r="P9"/>
  <c r="O19"/>
  <c r="N19"/>
  <c r="P19"/>
  <c r="M19"/>
  <c r="Q75"/>
  <c r="N275"/>
  <c r="P275"/>
  <c r="O275"/>
  <c r="M275"/>
  <c r="J274"/>
  <c r="P317"/>
  <c r="L139"/>
  <c r="K139"/>
  <c r="H192"/>
  <c r="Q193"/>
  <c r="K193"/>
  <c r="L193"/>
  <c r="L320"/>
  <c r="I319"/>
  <c r="I318"/>
  <c r="K320"/>
  <c r="M320"/>
  <c r="N320"/>
  <c r="M74" l="1"/>
  <c r="M226"/>
  <c r="N226"/>
  <c r="I317"/>
  <c r="L318"/>
  <c r="K318"/>
  <c r="N318"/>
  <c r="M318"/>
  <c r="M362"/>
  <c r="P362"/>
  <c r="J361"/>
  <c r="N362"/>
  <c r="H85"/>
  <c r="R86"/>
  <c r="Q86"/>
  <c r="R79"/>
  <c r="Q79"/>
  <c r="H168"/>
  <c r="H128" s="1"/>
  <c r="R169"/>
  <c r="Q169"/>
  <c r="Q7"/>
  <c r="R7"/>
  <c r="H6"/>
  <c r="K326"/>
  <c r="L326"/>
  <c r="I325"/>
  <c r="P121"/>
  <c r="O121"/>
  <c r="N121"/>
  <c r="J120"/>
  <c r="M121"/>
  <c r="K353"/>
  <c r="L353"/>
  <c r="I352"/>
  <c r="R337"/>
  <c r="Q337"/>
  <c r="L147"/>
  <c r="I146"/>
  <c r="K147"/>
  <c r="L169"/>
  <c r="L80"/>
  <c r="I79"/>
  <c r="N79" s="1"/>
  <c r="K80"/>
  <c r="J38"/>
  <c r="P39"/>
  <c r="O39"/>
  <c r="K319"/>
  <c r="L319"/>
  <c r="M319"/>
  <c r="N319"/>
  <c r="K250"/>
  <c r="L250"/>
  <c r="I249"/>
  <c r="M251"/>
  <c r="J250"/>
  <c r="N251"/>
  <c r="P251"/>
  <c r="O251"/>
  <c r="I118"/>
  <c r="R73"/>
  <c r="Q73"/>
  <c r="N80"/>
  <c r="P79"/>
  <c r="O79"/>
  <c r="L40"/>
  <c r="I39"/>
  <c r="N39" s="1"/>
  <c r="K40"/>
  <c r="N326"/>
  <c r="M326"/>
  <c r="J325"/>
  <c r="P326"/>
  <c r="O326"/>
  <c r="P130"/>
  <c r="O130"/>
  <c r="J129"/>
  <c r="P182"/>
  <c r="O182"/>
  <c r="O169"/>
  <c r="N169"/>
  <c r="M169"/>
  <c r="J168"/>
  <c r="P169"/>
  <c r="K169"/>
  <c r="K74"/>
  <c r="L74"/>
  <c r="I73"/>
  <c r="N73" s="1"/>
  <c r="M40"/>
  <c r="R250"/>
  <c r="H249"/>
  <c r="Q250"/>
  <c r="Q192"/>
  <c r="H191"/>
  <c r="K192"/>
  <c r="L192"/>
  <c r="O274"/>
  <c r="N274"/>
  <c r="M274"/>
  <c r="J273"/>
  <c r="P274"/>
  <c r="P8"/>
  <c r="O8"/>
  <c r="N8"/>
  <c r="M8"/>
  <c r="J7"/>
  <c r="P192"/>
  <c r="J191"/>
  <c r="N192"/>
  <c r="M192"/>
  <c r="R146"/>
  <c r="Q146"/>
  <c r="N312"/>
  <c r="J311"/>
  <c r="P312"/>
  <c r="M312"/>
  <c r="O204"/>
  <c r="M204"/>
  <c r="J203"/>
  <c r="J181" s="1"/>
  <c r="P204"/>
  <c r="N204"/>
  <c r="R182"/>
  <c r="Q182"/>
  <c r="K131"/>
  <c r="L131"/>
  <c r="I130"/>
  <c r="M130" s="1"/>
  <c r="L183"/>
  <c r="I182"/>
  <c r="N182" s="1"/>
  <c r="K183"/>
  <c r="O353"/>
  <c r="P353"/>
  <c r="N353"/>
  <c r="M353"/>
  <c r="J352"/>
  <c r="Q272"/>
  <c r="R272"/>
  <c r="R225"/>
  <c r="Q225"/>
  <c r="P86"/>
  <c r="K381"/>
  <c r="L381"/>
  <c r="I360"/>
  <c r="M80"/>
  <c r="L305"/>
  <c r="K305"/>
  <c r="M131"/>
  <c r="M183"/>
  <c r="H360"/>
  <c r="H203"/>
  <c r="R204"/>
  <c r="Q204"/>
  <c r="M381"/>
  <c r="P225"/>
  <c r="O225"/>
  <c r="N225"/>
  <c r="H310"/>
  <c r="Q310" s="1"/>
  <c r="Q311"/>
  <c r="Q129"/>
  <c r="R129"/>
  <c r="L337"/>
  <c r="M305"/>
  <c r="K7"/>
  <c r="L7"/>
  <c r="I6"/>
  <c r="H324"/>
  <c r="R325"/>
  <c r="Q325"/>
  <c r="R39"/>
  <c r="Q39"/>
  <c r="H38"/>
  <c r="P73"/>
  <c r="O73"/>
  <c r="M73"/>
  <c r="K347"/>
  <c r="I346"/>
  <c r="L347"/>
  <c r="N347"/>
  <c r="M347"/>
  <c r="L296"/>
  <c r="K296"/>
  <c r="I295"/>
  <c r="N296"/>
  <c r="M296"/>
  <c r="P85"/>
  <c r="O85"/>
  <c r="K274"/>
  <c r="L274"/>
  <c r="I273"/>
  <c r="R197"/>
  <c r="Q197"/>
  <c r="K311"/>
  <c r="L311"/>
  <c r="I310"/>
  <c r="N131"/>
  <c r="K203"/>
  <c r="L231"/>
  <c r="K231"/>
  <c r="I225"/>
  <c r="M225" s="1"/>
  <c r="M148"/>
  <c r="J147"/>
  <c r="P148"/>
  <c r="O148"/>
  <c r="N148"/>
  <c r="K86"/>
  <c r="L86"/>
  <c r="I85"/>
  <c r="M85" s="1"/>
  <c r="L168"/>
  <c r="K168"/>
  <c r="Q120"/>
  <c r="R120"/>
  <c r="H119"/>
  <c r="K119" s="1"/>
  <c r="M231"/>
  <c r="K361"/>
  <c r="L361"/>
  <c r="O337"/>
  <c r="N337"/>
  <c r="M337"/>
  <c r="P337"/>
  <c r="K337"/>
  <c r="K198"/>
  <c r="L198"/>
  <c r="I197"/>
  <c r="N198"/>
  <c r="M198"/>
  <c r="N130" l="1"/>
  <c r="M79"/>
  <c r="L85"/>
  <c r="K85"/>
  <c r="L273"/>
  <c r="I272"/>
  <c r="K273"/>
  <c r="N85"/>
  <c r="I345"/>
  <c r="L346"/>
  <c r="K346"/>
  <c r="M346"/>
  <c r="N346"/>
  <c r="R324"/>
  <c r="Q324"/>
  <c r="R203"/>
  <c r="Q203"/>
  <c r="P352"/>
  <c r="M352"/>
  <c r="O352"/>
  <c r="N352"/>
  <c r="H181"/>
  <c r="P273"/>
  <c r="O273"/>
  <c r="N273"/>
  <c r="J272"/>
  <c r="M273"/>
  <c r="K118"/>
  <c r="M39"/>
  <c r="K325"/>
  <c r="I324"/>
  <c r="L325"/>
  <c r="R168"/>
  <c r="Q168"/>
  <c r="L225"/>
  <c r="K225"/>
  <c r="L203"/>
  <c r="K6"/>
  <c r="L6"/>
  <c r="R360"/>
  <c r="Q360"/>
  <c r="H359"/>
  <c r="L130"/>
  <c r="I129"/>
  <c r="K130"/>
  <c r="P203"/>
  <c r="O203"/>
  <c r="N203"/>
  <c r="M203"/>
  <c r="M7"/>
  <c r="J6"/>
  <c r="N7"/>
  <c r="P7"/>
  <c r="O7"/>
  <c r="L73"/>
  <c r="K73"/>
  <c r="P129"/>
  <c r="O129"/>
  <c r="O325"/>
  <c r="P325"/>
  <c r="M325"/>
  <c r="J324"/>
  <c r="N325"/>
  <c r="L119"/>
  <c r="K249"/>
  <c r="L249"/>
  <c r="R85"/>
  <c r="Q85"/>
  <c r="K295"/>
  <c r="L295"/>
  <c r="M295"/>
  <c r="N295"/>
  <c r="R128"/>
  <c r="Q128"/>
  <c r="R249"/>
  <c r="Q249"/>
  <c r="P168"/>
  <c r="O168"/>
  <c r="N168"/>
  <c r="M168"/>
  <c r="O181"/>
  <c r="M181"/>
  <c r="P181"/>
  <c r="L39"/>
  <c r="I38"/>
  <c r="K39"/>
  <c r="L197"/>
  <c r="K197"/>
  <c r="M197"/>
  <c r="N197"/>
  <c r="R119"/>
  <c r="H118"/>
  <c r="Q119"/>
  <c r="N147"/>
  <c r="M147"/>
  <c r="J146"/>
  <c r="J128" s="1"/>
  <c r="P147"/>
  <c r="O147"/>
  <c r="L310"/>
  <c r="K310"/>
  <c r="R38"/>
  <c r="Q38"/>
  <c r="L360"/>
  <c r="I359"/>
  <c r="K360"/>
  <c r="H224"/>
  <c r="L182"/>
  <c r="I181"/>
  <c r="K182"/>
  <c r="P311"/>
  <c r="J310"/>
  <c r="N311"/>
  <c r="M311"/>
  <c r="P191"/>
  <c r="N191"/>
  <c r="M191"/>
  <c r="Q191"/>
  <c r="L191"/>
  <c r="K191"/>
  <c r="M182"/>
  <c r="N250"/>
  <c r="P250"/>
  <c r="O250"/>
  <c r="M250"/>
  <c r="J249"/>
  <c r="O38"/>
  <c r="N38"/>
  <c r="M38"/>
  <c r="P38"/>
  <c r="L79"/>
  <c r="K79"/>
  <c r="K146"/>
  <c r="L146"/>
  <c r="L352"/>
  <c r="K352"/>
  <c r="M120"/>
  <c r="J119"/>
  <c r="N120"/>
  <c r="P120"/>
  <c r="O120"/>
  <c r="R6"/>
  <c r="H5"/>
  <c r="Q6"/>
  <c r="P361"/>
  <c r="M361"/>
  <c r="N361"/>
  <c r="J360"/>
  <c r="L317"/>
  <c r="K317"/>
  <c r="M317"/>
  <c r="N317"/>
  <c r="Q224" l="1"/>
  <c r="R224"/>
  <c r="L324"/>
  <c r="K324"/>
  <c r="P360"/>
  <c r="O360"/>
  <c r="N360"/>
  <c r="M360"/>
  <c r="J359"/>
  <c r="N119"/>
  <c r="P119"/>
  <c r="O119"/>
  <c r="M119"/>
  <c r="J118"/>
  <c r="O128"/>
  <c r="P128"/>
  <c r="N6"/>
  <c r="P6"/>
  <c r="O6"/>
  <c r="M6"/>
  <c r="J5"/>
  <c r="L129"/>
  <c r="I128"/>
  <c r="M128" s="1"/>
  <c r="K129"/>
  <c r="O249"/>
  <c r="M249"/>
  <c r="P249"/>
  <c r="N249"/>
  <c r="K181"/>
  <c r="L181"/>
  <c r="L359"/>
  <c r="K359"/>
  <c r="K38"/>
  <c r="L38"/>
  <c r="N181"/>
  <c r="N129"/>
  <c r="M129"/>
  <c r="I5"/>
  <c r="M272"/>
  <c r="N272"/>
  <c r="P272"/>
  <c r="O272"/>
  <c r="J224"/>
  <c r="P324"/>
  <c r="M324"/>
  <c r="O324"/>
  <c r="N324"/>
  <c r="L272"/>
  <c r="K272"/>
  <c r="L345"/>
  <c r="K345"/>
  <c r="M345"/>
  <c r="N345"/>
  <c r="H386"/>
  <c r="R5"/>
  <c r="Q5"/>
  <c r="N310"/>
  <c r="P310"/>
  <c r="M310"/>
  <c r="O146"/>
  <c r="N146"/>
  <c r="M146"/>
  <c r="P146"/>
  <c r="R118"/>
  <c r="Q118"/>
  <c r="Q359"/>
  <c r="R359"/>
  <c r="I224"/>
  <c r="L118"/>
  <c r="R181"/>
  <c r="Q181"/>
  <c r="R386" l="1"/>
  <c r="Q386"/>
  <c r="J386"/>
  <c r="S359" s="1"/>
  <c r="O5"/>
  <c r="M5"/>
  <c r="N5"/>
  <c r="P5"/>
  <c r="M359"/>
  <c r="P359"/>
  <c r="O359"/>
  <c r="N359"/>
  <c r="O118"/>
  <c r="M118"/>
  <c r="P118"/>
  <c r="N118"/>
  <c r="L224"/>
  <c r="K224"/>
  <c r="M224"/>
  <c r="O224"/>
  <c r="S224"/>
  <c r="N224"/>
  <c r="P224"/>
  <c r="I386"/>
  <c r="K5"/>
  <c r="L5"/>
  <c r="L128"/>
  <c r="K128"/>
  <c r="N128"/>
  <c r="S118" l="1"/>
  <c r="P386"/>
  <c r="N386"/>
  <c r="S385"/>
  <c r="S386"/>
  <c r="S350"/>
  <c r="S343"/>
  <c r="S358"/>
  <c r="S351"/>
  <c r="S336"/>
  <c r="S330"/>
  <c r="O386"/>
  <c r="S341"/>
  <c r="S333"/>
  <c r="S309"/>
  <c r="S332"/>
  <c r="S322"/>
  <c r="M386"/>
  <c r="S384"/>
  <c r="S291"/>
  <c r="S234"/>
  <c r="S344"/>
  <c r="S316"/>
  <c r="S308"/>
  <c r="S299"/>
  <c r="S254"/>
  <c r="S323"/>
  <c r="S302"/>
  <c r="S277"/>
  <c r="S233"/>
  <c r="S265"/>
  <c r="S196"/>
  <c r="S264"/>
  <c r="S229"/>
  <c r="S214"/>
  <c r="S207"/>
  <c r="S201"/>
  <c r="S173"/>
  <c r="S138"/>
  <c r="S298"/>
  <c r="S262"/>
  <c r="S230"/>
  <c r="S227"/>
  <c r="S213"/>
  <c r="S211"/>
  <c r="S208"/>
  <c r="S190"/>
  <c r="S180"/>
  <c r="S172"/>
  <c r="S151"/>
  <c r="S145"/>
  <c r="S187"/>
  <c r="S175"/>
  <c r="S178"/>
  <c r="S111"/>
  <c r="S90"/>
  <c r="S78"/>
  <c r="S32"/>
  <c r="S223"/>
  <c r="S217"/>
  <c r="S115"/>
  <c r="S99"/>
  <c r="S95"/>
  <c r="S89"/>
  <c r="S77"/>
  <c r="S65"/>
  <c r="S61"/>
  <c r="S43"/>
  <c r="S35"/>
  <c r="S202"/>
  <c r="S186"/>
  <c r="S137"/>
  <c r="S134"/>
  <c r="S96"/>
  <c r="S84"/>
  <c r="S62"/>
  <c r="S174"/>
  <c r="S83"/>
  <c r="S108"/>
  <c r="S141"/>
  <c r="S30"/>
  <c r="S93"/>
  <c r="S31"/>
  <c r="S18"/>
  <c r="S109"/>
  <c r="S11"/>
  <c r="S21"/>
  <c r="S76"/>
  <c r="S222"/>
  <c r="S297"/>
  <c r="S114"/>
  <c r="S154"/>
  <c r="S200"/>
  <c r="S320"/>
  <c r="S347"/>
  <c r="S243"/>
  <c r="S253"/>
  <c r="S339"/>
  <c r="S60"/>
  <c r="S133"/>
  <c r="S144"/>
  <c r="S97"/>
  <c r="S113"/>
  <c r="S34"/>
  <c r="S70"/>
  <c r="S150"/>
  <c r="S171"/>
  <c r="S257"/>
  <c r="S199"/>
  <c r="S94"/>
  <c r="S179"/>
  <c r="S206"/>
  <c r="S261"/>
  <c r="S216"/>
  <c r="S210"/>
  <c r="S232"/>
  <c r="S237"/>
  <c r="S288"/>
  <c r="S228"/>
  <c r="S268"/>
  <c r="S307"/>
  <c r="S244"/>
  <c r="S356"/>
  <c r="S348"/>
  <c r="S377"/>
  <c r="S357"/>
  <c r="S365"/>
  <c r="S17"/>
  <c r="S52"/>
  <c r="S82"/>
  <c r="S107"/>
  <c r="S177"/>
  <c r="S29"/>
  <c r="S195"/>
  <c r="S91"/>
  <c r="S98"/>
  <c r="S160"/>
  <c r="S212"/>
  <c r="S266"/>
  <c r="S242"/>
  <c r="S276"/>
  <c r="S315"/>
  <c r="S329"/>
  <c r="S335"/>
  <c r="S371"/>
  <c r="S349"/>
  <c r="S185"/>
  <c r="S42"/>
  <c r="S64"/>
  <c r="S88"/>
  <c r="S92"/>
  <c r="S140"/>
  <c r="S189"/>
  <c r="S124"/>
  <c r="S165"/>
  <c r="S267"/>
  <c r="S226"/>
  <c r="S238"/>
  <c r="S301"/>
  <c r="S321"/>
  <c r="S263"/>
  <c r="S340"/>
  <c r="S383"/>
  <c r="S176"/>
  <c r="S300"/>
  <c r="S153"/>
  <c r="S33"/>
  <c r="S188"/>
  <c r="S342"/>
  <c r="S235"/>
  <c r="S306"/>
  <c r="S159"/>
  <c r="S112"/>
  <c r="S51"/>
  <c r="S256"/>
  <c r="S41"/>
  <c r="S382"/>
  <c r="S334"/>
  <c r="S132"/>
  <c r="S215"/>
  <c r="S69"/>
  <c r="S318"/>
  <c r="S287"/>
  <c r="S209"/>
  <c r="S81"/>
  <c r="S314"/>
  <c r="S296"/>
  <c r="S149"/>
  <c r="S319"/>
  <c r="S20"/>
  <c r="S164"/>
  <c r="S63"/>
  <c r="S260"/>
  <c r="S252"/>
  <c r="S139"/>
  <c r="S75"/>
  <c r="S364"/>
  <c r="S346"/>
  <c r="S194"/>
  <c r="S123"/>
  <c r="S370"/>
  <c r="S331"/>
  <c r="S355"/>
  <c r="S328"/>
  <c r="S236"/>
  <c r="S184"/>
  <c r="S198"/>
  <c r="S87"/>
  <c r="S10"/>
  <c r="S376"/>
  <c r="S305"/>
  <c r="S170"/>
  <c r="S183"/>
  <c r="S327"/>
  <c r="S369"/>
  <c r="S80"/>
  <c r="S86"/>
  <c r="S152"/>
  <c r="S74"/>
  <c r="S363"/>
  <c r="S40"/>
  <c r="S158"/>
  <c r="S375"/>
  <c r="S9"/>
  <c r="S338"/>
  <c r="S231"/>
  <c r="S381"/>
  <c r="S68"/>
  <c r="S295"/>
  <c r="S255"/>
  <c r="S313"/>
  <c r="S193"/>
  <c r="S275"/>
  <c r="S197"/>
  <c r="S131"/>
  <c r="S122"/>
  <c r="S354"/>
  <c r="S205"/>
  <c r="S345"/>
  <c r="S19"/>
  <c r="S317"/>
  <c r="S182"/>
  <c r="S251"/>
  <c r="S169"/>
  <c r="S85"/>
  <c r="S362"/>
  <c r="S121"/>
  <c r="S79"/>
  <c r="S192"/>
  <c r="S312"/>
  <c r="S353"/>
  <c r="S73"/>
  <c r="S148"/>
  <c r="S39"/>
  <c r="S326"/>
  <c r="S130"/>
  <c r="S274"/>
  <c r="S8"/>
  <c r="S204"/>
  <c r="S225"/>
  <c r="S337"/>
  <c r="S361"/>
  <c r="S352"/>
  <c r="S203"/>
  <c r="S129"/>
  <c r="S38"/>
  <c r="S168"/>
  <c r="S250"/>
  <c r="S120"/>
  <c r="S311"/>
  <c r="S147"/>
  <c r="S191"/>
  <c r="S273"/>
  <c r="S7"/>
  <c r="S325"/>
  <c r="S181"/>
  <c r="S6"/>
  <c r="S360"/>
  <c r="S249"/>
  <c r="S310"/>
  <c r="S119"/>
  <c r="S146"/>
  <c r="S128"/>
  <c r="S272"/>
  <c r="S324"/>
  <c r="L386"/>
  <c r="K386"/>
  <c r="S5"/>
  <c r="CI126" i="2" l="1"/>
  <c r="CH126"/>
  <c r="CE126"/>
  <c r="CD126"/>
  <c r="CC126"/>
  <c r="BY126"/>
  <c r="BX126"/>
  <c r="CI125"/>
  <c r="CH125"/>
  <c r="CE125"/>
  <c r="CD125"/>
  <c r="CC125"/>
  <c r="BY125"/>
  <c r="BX125"/>
  <c r="CI124"/>
  <c r="CH124"/>
  <c r="CE124"/>
  <c r="CD124"/>
  <c r="CC124"/>
  <c r="BY124"/>
  <c r="BX124"/>
  <c r="CI123"/>
  <c r="CH123"/>
  <c r="CE123"/>
  <c r="CD123"/>
  <c r="CC123"/>
  <c r="BY123"/>
  <c r="BX123"/>
  <c r="BO123"/>
  <c r="BO121" s="1"/>
  <c r="Q123"/>
  <c r="CI122"/>
  <c r="CH122"/>
  <c r="U122"/>
  <c r="U121" s="1"/>
  <c r="M122"/>
  <c r="C122"/>
  <c r="C121" s="1"/>
  <c r="CK121"/>
  <c r="CJ121"/>
  <c r="CG121"/>
  <c r="CI121" s="1"/>
  <c r="CF121"/>
  <c r="CH121" s="1"/>
  <c r="CB121"/>
  <c r="BR121"/>
  <c r="BQ121"/>
  <c r="BP121"/>
  <c r="BN121"/>
  <c r="BM121"/>
  <c r="BL121"/>
  <c r="BK121"/>
  <c r="BJ121"/>
  <c r="BI121"/>
  <c r="BH121"/>
  <c r="BG121"/>
  <c r="BF121"/>
  <c r="BE121"/>
  <c r="BD121"/>
  <c r="BC121"/>
  <c r="BB121"/>
  <c r="BA121"/>
  <c r="AZ121"/>
  <c r="AY121"/>
  <c r="AX121"/>
  <c r="AW121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F121"/>
  <c r="AE121"/>
  <c r="AD121"/>
  <c r="AC121"/>
  <c r="AB121"/>
  <c r="AA121"/>
  <c r="Z121"/>
  <c r="Y121"/>
  <c r="X121"/>
  <c r="W121"/>
  <c r="V121"/>
  <c r="T121"/>
  <c r="S121"/>
  <c r="R121"/>
  <c r="Q121"/>
  <c r="P121"/>
  <c r="O121"/>
  <c r="N121"/>
  <c r="M121"/>
  <c r="L121"/>
  <c r="K121"/>
  <c r="J121"/>
  <c r="I121"/>
  <c r="H121"/>
  <c r="G121"/>
  <c r="F121"/>
  <c r="E121"/>
  <c r="D121"/>
  <c r="CI120"/>
  <c r="CH120"/>
  <c r="CE120"/>
  <c r="CD120"/>
  <c r="CC120"/>
  <c r="BY120"/>
  <c r="BX120"/>
  <c r="CI119"/>
  <c r="CH119"/>
  <c r="CE119"/>
  <c r="CD119"/>
  <c r="CC119"/>
  <c r="BY119"/>
  <c r="BX119"/>
  <c r="CI118"/>
  <c r="CH118"/>
  <c r="CE118"/>
  <c r="CD118"/>
  <c r="CC118"/>
  <c r="BY118"/>
  <c r="BX118"/>
  <c r="CI117"/>
  <c r="CH117"/>
  <c r="CE117"/>
  <c r="CD117"/>
  <c r="CC117"/>
  <c r="BY117"/>
  <c r="BX117"/>
  <c r="CI116"/>
  <c r="CH116"/>
  <c r="CE116"/>
  <c r="CD116"/>
  <c r="CC116"/>
  <c r="BY116"/>
  <c r="BX116"/>
  <c r="BE116"/>
  <c r="CI115"/>
  <c r="CH115"/>
  <c r="CE115"/>
  <c r="CD115"/>
  <c r="CC115"/>
  <c r="BY115"/>
  <c r="BX115"/>
  <c r="CI114"/>
  <c r="CH114"/>
  <c r="CE114"/>
  <c r="CD114"/>
  <c r="CC114"/>
  <c r="BY114"/>
  <c r="BX114"/>
  <c r="CI113"/>
  <c r="CH113"/>
  <c r="CE113"/>
  <c r="CD113"/>
  <c r="CC113"/>
  <c r="BY113"/>
  <c r="BX113"/>
  <c r="CI112"/>
  <c r="CH112"/>
  <c r="CE112"/>
  <c r="CD112"/>
  <c r="CC112"/>
  <c r="BY112"/>
  <c r="BX112"/>
  <c r="CI111"/>
  <c r="CH111"/>
  <c r="CE111"/>
  <c r="CD111"/>
  <c r="CC111"/>
  <c r="BY111"/>
  <c r="BX111"/>
  <c r="CI110"/>
  <c r="CH110"/>
  <c r="CE110"/>
  <c r="CD110"/>
  <c r="CC110"/>
  <c r="BY110"/>
  <c r="BX110"/>
  <c r="CI109"/>
  <c r="CH109"/>
  <c r="CE109"/>
  <c r="CD109"/>
  <c r="CC109"/>
  <c r="BY109"/>
  <c r="BX109"/>
  <c r="CI108"/>
  <c r="CH108"/>
  <c r="CE108"/>
  <c r="CC108"/>
  <c r="CA108"/>
  <c r="CD108" s="1"/>
  <c r="BY108"/>
  <c r="BX108"/>
  <c r="BN108"/>
  <c r="BL108"/>
  <c r="BE108"/>
  <c r="AF108"/>
  <c r="AE108"/>
  <c r="CI107"/>
  <c r="CH107"/>
  <c r="CE107"/>
  <c r="CD107"/>
  <c r="CC107"/>
  <c r="BY107"/>
  <c r="BX107"/>
  <c r="CI106"/>
  <c r="CH106"/>
  <c r="CE106"/>
  <c r="CD106"/>
  <c r="CC106"/>
  <c r="BY106"/>
  <c r="BX106"/>
  <c r="CI105"/>
  <c r="CH105"/>
  <c r="CE105"/>
  <c r="CD105"/>
  <c r="CC105"/>
  <c r="BY105"/>
  <c r="BX105"/>
  <c r="CI104"/>
  <c r="CH104"/>
  <c r="CE104"/>
  <c r="CD104"/>
  <c r="CC104"/>
  <c r="BY104"/>
  <c r="BX104"/>
  <c r="CI103"/>
  <c r="CH103"/>
  <c r="CE103"/>
  <c r="CD103"/>
  <c r="CC103"/>
  <c r="BZ103"/>
  <c r="BX103"/>
  <c r="BW103"/>
  <c r="BY103" s="1"/>
  <c r="BV103"/>
  <c r="BV119" s="1"/>
  <c r="BU103"/>
  <c r="BT103"/>
  <c r="AV103"/>
  <c r="AU103"/>
  <c r="AT103"/>
  <c r="AL103"/>
  <c r="AK103"/>
  <c r="CI102"/>
  <c r="CH102"/>
  <c r="CE102"/>
  <c r="CD102"/>
  <c r="CC102"/>
  <c r="BY102"/>
  <c r="BX102"/>
  <c r="AF102"/>
  <c r="AE102"/>
  <c r="AB102"/>
  <c r="AA102"/>
  <c r="CI101"/>
  <c r="CH101"/>
  <c r="CA101"/>
  <c r="BY101"/>
  <c r="BX101"/>
  <c r="BV101"/>
  <c r="BT101"/>
  <c r="BN101"/>
  <c r="BL101"/>
  <c r="BK101"/>
  <c r="BJ101"/>
  <c r="BE101"/>
  <c r="BD101"/>
  <c r="BC101"/>
  <c r="BB101"/>
  <c r="BA101"/>
  <c r="AX101"/>
  <c r="AV101"/>
  <c r="AU101"/>
  <c r="AT101"/>
  <c r="AL101"/>
  <c r="AK101"/>
  <c r="L101"/>
  <c r="K101"/>
  <c r="CI100"/>
  <c r="CH100"/>
  <c r="CE100"/>
  <c r="CC100"/>
  <c r="CA100"/>
  <c r="CD100" s="1"/>
  <c r="BY100"/>
  <c r="BX100"/>
  <c r="BN100"/>
  <c r="BL100"/>
  <c r="CI99"/>
  <c r="CH99"/>
  <c r="CE99"/>
  <c r="CD99"/>
  <c r="CC99"/>
  <c r="BY99"/>
  <c r="BX99"/>
  <c r="CI98"/>
  <c r="CH98"/>
  <c r="CD98"/>
  <c r="CA98"/>
  <c r="BY98"/>
  <c r="BX98"/>
  <c r="BV98"/>
  <c r="BN98"/>
  <c r="BL98"/>
  <c r="BE98"/>
  <c r="BD98"/>
  <c r="BC98"/>
  <c r="AV98"/>
  <c r="AU98"/>
  <c r="AT98"/>
  <c r="AF98"/>
  <c r="AE98"/>
  <c r="H98"/>
  <c r="CI97"/>
  <c r="CH97"/>
  <c r="CE97"/>
  <c r="CD97"/>
  <c r="CC97"/>
  <c r="BY97"/>
  <c r="BX97"/>
  <c r="BB97"/>
  <c r="BA97"/>
  <c r="AX97"/>
  <c r="AV97"/>
  <c r="AU97"/>
  <c r="AT97"/>
  <c r="AS97"/>
  <c r="AR97"/>
  <c r="AF97"/>
  <c r="AE97"/>
  <c r="AD97"/>
  <c r="CI96"/>
  <c r="CH96"/>
  <c r="CE96"/>
  <c r="CD96"/>
  <c r="CC96"/>
  <c r="BY96"/>
  <c r="BX96"/>
  <c r="BC96"/>
  <c r="BC93" s="1"/>
  <c r="T96"/>
  <c r="S96"/>
  <c r="R96"/>
  <c r="Q96"/>
  <c r="P96"/>
  <c r="O96"/>
  <c r="N96"/>
  <c r="L96"/>
  <c r="L93" s="1"/>
  <c r="K96"/>
  <c r="J96"/>
  <c r="J93" s="1"/>
  <c r="CI95"/>
  <c r="CH95"/>
  <c r="CE95"/>
  <c r="CD95"/>
  <c r="CC95"/>
  <c r="BY95"/>
  <c r="BX95"/>
  <c r="CI94"/>
  <c r="CH94"/>
  <c r="CE94"/>
  <c r="CD94"/>
  <c r="CC94"/>
  <c r="BY94"/>
  <c r="BX94"/>
  <c r="CK93"/>
  <c r="CJ93"/>
  <c r="CG93"/>
  <c r="CF93"/>
  <c r="CH93" s="1"/>
  <c r="CD93"/>
  <c r="CB93"/>
  <c r="CB71" s="1"/>
  <c r="CB69" s="1"/>
  <c r="CA93"/>
  <c r="BZ93"/>
  <c r="BZ71" s="1"/>
  <c r="BZ69" s="1"/>
  <c r="BW93"/>
  <c r="BY93" s="1"/>
  <c r="BV93"/>
  <c r="BU93"/>
  <c r="BT93"/>
  <c r="BS93"/>
  <c r="BR93"/>
  <c r="BQ93"/>
  <c r="BP93"/>
  <c r="BX93" s="1"/>
  <c r="BO93"/>
  <c r="BN93"/>
  <c r="BM93"/>
  <c r="BL93"/>
  <c r="BK93"/>
  <c r="BJ93"/>
  <c r="BI93"/>
  <c r="BH93"/>
  <c r="BG93"/>
  <c r="BF93"/>
  <c r="BE93"/>
  <c r="BD93"/>
  <c r="AZ93"/>
  <c r="AY93"/>
  <c r="AX93"/>
  <c r="AW93"/>
  <c r="AV93"/>
  <c r="AU93"/>
  <c r="AT93"/>
  <c r="AP93"/>
  <c r="AO93"/>
  <c r="AN93"/>
  <c r="AM93"/>
  <c r="AL93"/>
  <c r="AK93"/>
  <c r="AJ93"/>
  <c r="AI93"/>
  <c r="AH93"/>
  <c r="AG93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O71" s="1"/>
  <c r="O69" s="1"/>
  <c r="N93"/>
  <c r="M93"/>
  <c r="M71" s="1"/>
  <c r="M69" s="1"/>
  <c r="K93"/>
  <c r="I93"/>
  <c r="I71" s="1"/>
  <c r="I69" s="1"/>
  <c r="H93"/>
  <c r="G93"/>
  <c r="G71" s="1"/>
  <c r="G69" s="1"/>
  <c r="F93"/>
  <c r="E93"/>
  <c r="E71" s="1"/>
  <c r="E69" s="1"/>
  <c r="D93"/>
  <c r="C93"/>
  <c r="C71" s="1"/>
  <c r="CI92"/>
  <c r="CH92"/>
  <c r="CE92"/>
  <c r="CD92"/>
  <c r="CC92"/>
  <c r="BY92"/>
  <c r="BX92"/>
  <c r="CI91"/>
  <c r="CH91"/>
  <c r="CE91"/>
  <c r="CD91"/>
  <c r="CC91"/>
  <c r="BY91"/>
  <c r="BX91"/>
  <c r="AJ91"/>
  <c r="AI91"/>
  <c r="AI89" s="1"/>
  <c r="AH91"/>
  <c r="CI90"/>
  <c r="CH90"/>
  <c r="CE90"/>
  <c r="CD90"/>
  <c r="CC90"/>
  <c r="BY90"/>
  <c r="BX90"/>
  <c r="CK89"/>
  <c r="CJ89"/>
  <c r="CG89"/>
  <c r="CI89" s="1"/>
  <c r="CF89"/>
  <c r="CH89" s="1"/>
  <c r="CD89"/>
  <c r="CB89"/>
  <c r="CA89"/>
  <c r="BZ89"/>
  <c r="BW89"/>
  <c r="BV89"/>
  <c r="BU89"/>
  <c r="BT89"/>
  <c r="BT71" s="1"/>
  <c r="BT69" s="1"/>
  <c r="BS89"/>
  <c r="BR89"/>
  <c r="BR71" s="1"/>
  <c r="BR69" s="1"/>
  <c r="BQ89"/>
  <c r="BP89"/>
  <c r="BP71" s="1"/>
  <c r="BP73" s="1"/>
  <c r="BO89"/>
  <c r="BN89"/>
  <c r="BL89"/>
  <c r="BK89"/>
  <c r="BJ89"/>
  <c r="BI89"/>
  <c r="BH89"/>
  <c r="BG89"/>
  <c r="BF89"/>
  <c r="BE89"/>
  <c r="BE71" s="1"/>
  <c r="BE69" s="1"/>
  <c r="BB89"/>
  <c r="BA89"/>
  <c r="BA71" s="1"/>
  <c r="AZ89"/>
  <c r="AY89"/>
  <c r="AY71" s="1"/>
  <c r="AY69" s="1"/>
  <c r="AX89"/>
  <c r="AW89"/>
  <c r="AW71" s="1"/>
  <c r="AW69" s="1"/>
  <c r="AV89"/>
  <c r="AU89"/>
  <c r="AU71" s="1"/>
  <c r="AU69" s="1"/>
  <c r="AT89"/>
  <c r="AP89"/>
  <c r="AP71" s="1"/>
  <c r="AP69" s="1"/>
  <c r="AO89"/>
  <c r="AN89"/>
  <c r="AN71" s="1"/>
  <c r="AN69" s="1"/>
  <c r="AM89"/>
  <c r="AL89"/>
  <c r="AL71" s="1"/>
  <c r="AK89"/>
  <c r="AJ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CI88"/>
  <c r="CH88"/>
  <c r="CE88"/>
  <c r="CD88"/>
  <c r="CC88"/>
  <c r="BY88"/>
  <c r="BX88"/>
  <c r="BM88"/>
  <c r="CI87"/>
  <c r="CH87"/>
  <c r="CE87"/>
  <c r="CD87"/>
  <c r="CC87"/>
  <c r="BY87"/>
  <c r="BX87"/>
  <c r="CI86"/>
  <c r="CH86"/>
  <c r="CE86"/>
  <c r="CD86"/>
  <c r="CC86"/>
  <c r="BY86"/>
  <c r="BX86"/>
  <c r="CI85"/>
  <c r="CH85"/>
  <c r="CE85"/>
  <c r="CD85"/>
  <c r="CC85"/>
  <c r="BY85"/>
  <c r="BX85"/>
  <c r="CI84"/>
  <c r="CH84"/>
  <c r="CE84"/>
  <c r="CD84"/>
  <c r="CC84"/>
  <c r="BY84"/>
  <c r="BX84"/>
  <c r="F84"/>
  <c r="CI83"/>
  <c r="CH83"/>
  <c r="CE83"/>
  <c r="CD83"/>
  <c r="CC83"/>
  <c r="BY83"/>
  <c r="BX83"/>
  <c r="CI82"/>
  <c r="CH82"/>
  <c r="CE82"/>
  <c r="CD82"/>
  <c r="CC82"/>
  <c r="BY82"/>
  <c r="BX82"/>
  <c r="CI81"/>
  <c r="CH81"/>
  <c r="CE81"/>
  <c r="CD81"/>
  <c r="CC81"/>
  <c r="BZ81"/>
  <c r="BZ77" s="1"/>
  <c r="BX81"/>
  <c r="BW81"/>
  <c r="BY81" s="1"/>
  <c r="BU81"/>
  <c r="BU77" s="1"/>
  <c r="BT81"/>
  <c r="BK81"/>
  <c r="BK77" s="1"/>
  <c r="CI80"/>
  <c r="CH80"/>
  <c r="CE80"/>
  <c r="CD80"/>
  <c r="CC80"/>
  <c r="BY80"/>
  <c r="BX80"/>
  <c r="CI79"/>
  <c r="CH79"/>
  <c r="CE79"/>
  <c r="CD79"/>
  <c r="CC79"/>
  <c r="BY79"/>
  <c r="BX79"/>
  <c r="CH78"/>
  <c r="CG78"/>
  <c r="CI78" s="1"/>
  <c r="CE78"/>
  <c r="CD78"/>
  <c r="CC78"/>
  <c r="BY78"/>
  <c r="BX78"/>
  <c r="BV78"/>
  <c r="CK77"/>
  <c r="CJ77"/>
  <c r="CG77"/>
  <c r="CF77"/>
  <c r="CE77"/>
  <c r="CB77"/>
  <c r="CA77"/>
  <c r="BY77"/>
  <c r="BW77"/>
  <c r="BX77" s="1"/>
  <c r="BV77"/>
  <c r="BT77"/>
  <c r="BS77"/>
  <c r="BR77"/>
  <c r="BQ77"/>
  <c r="BP77"/>
  <c r="BO77"/>
  <c r="BN77"/>
  <c r="BM77"/>
  <c r="BL77"/>
  <c r="BJ77"/>
  <c r="BI77"/>
  <c r="BH77"/>
  <c r="BG77"/>
  <c r="BF77"/>
  <c r="BB77"/>
  <c r="BA77"/>
  <c r="AZ77"/>
  <c r="AY77"/>
  <c r="AX77"/>
  <c r="AW77"/>
  <c r="AV77"/>
  <c r="AU77"/>
  <c r="AT77"/>
  <c r="AP77"/>
  <c r="AO77"/>
  <c r="AN77"/>
  <c r="AM77"/>
  <c r="AL77"/>
  <c r="AK77"/>
  <c r="I77"/>
  <c r="H77"/>
  <c r="G77"/>
  <c r="F77"/>
  <c r="E77"/>
  <c r="D77"/>
  <c r="C77"/>
  <c r="CI76"/>
  <c r="CH76"/>
  <c r="CE76"/>
  <c r="CD76"/>
  <c r="CC76"/>
  <c r="BY76"/>
  <c r="BX76"/>
  <c r="Q76"/>
  <c r="P76"/>
  <c r="P74" s="1"/>
  <c r="CI75"/>
  <c r="CH75"/>
  <c r="CE75"/>
  <c r="CD75"/>
  <c r="CC75"/>
  <c r="BY75"/>
  <c r="BX75"/>
  <c r="CK74"/>
  <c r="CJ74"/>
  <c r="CG74"/>
  <c r="CF74"/>
  <c r="CE74"/>
  <c r="CB74"/>
  <c r="CA74"/>
  <c r="BZ74"/>
  <c r="BW74"/>
  <c r="BV74"/>
  <c r="BU74"/>
  <c r="BT74"/>
  <c r="BS74"/>
  <c r="BS71" s="1"/>
  <c r="BS69" s="1"/>
  <c r="BR74"/>
  <c r="BQ74"/>
  <c r="BQ71" s="1"/>
  <c r="BQ69" s="1"/>
  <c r="BP74"/>
  <c r="BO74"/>
  <c r="BO71" s="1"/>
  <c r="BN74"/>
  <c r="BM74"/>
  <c r="BM71" s="1"/>
  <c r="BM69" s="1"/>
  <c r="BL74"/>
  <c r="BK74"/>
  <c r="BJ74"/>
  <c r="BI74"/>
  <c r="BH74"/>
  <c r="BG74"/>
  <c r="BF74"/>
  <c r="AZ74"/>
  <c r="AY74"/>
  <c r="AX74"/>
  <c r="AW74"/>
  <c r="AV74"/>
  <c r="AU74"/>
  <c r="AT74"/>
  <c r="AP74"/>
  <c r="AO74"/>
  <c r="AO71" s="1"/>
  <c r="AO69" s="1"/>
  <c r="AN74"/>
  <c r="AM74"/>
  <c r="AM71" s="1"/>
  <c r="AM69" s="1"/>
  <c r="AL74"/>
  <c r="AK74"/>
  <c r="AK71" s="1"/>
  <c r="AK69" s="1"/>
  <c r="AJ74"/>
  <c r="AI74"/>
  <c r="AI71" s="1"/>
  <c r="AI69" s="1"/>
  <c r="AH74"/>
  <c r="AG74"/>
  <c r="AG71" s="1"/>
  <c r="AG69" s="1"/>
  <c r="AF74"/>
  <c r="AE74"/>
  <c r="AE71" s="1"/>
  <c r="AE69" s="1"/>
  <c r="AD74"/>
  <c r="AC74"/>
  <c r="AC71" s="1"/>
  <c r="AC69" s="1"/>
  <c r="AB74"/>
  <c r="AA74"/>
  <c r="AA71" s="1"/>
  <c r="AA69" s="1"/>
  <c r="Z74"/>
  <c r="Y74"/>
  <c r="Y71" s="1"/>
  <c r="Y69" s="1"/>
  <c r="X74"/>
  <c r="W74"/>
  <c r="W71" s="1"/>
  <c r="W69" s="1"/>
  <c r="V74"/>
  <c r="U74"/>
  <c r="U71" s="1"/>
  <c r="T74"/>
  <c r="S74"/>
  <c r="S71" s="1"/>
  <c r="S69" s="1"/>
  <c r="R74"/>
  <c r="Q74"/>
  <c r="Q71" s="1"/>
  <c r="Q69" s="1"/>
  <c r="O74"/>
  <c r="N74"/>
  <c r="M74"/>
  <c r="L74"/>
  <c r="K74"/>
  <c r="J74"/>
  <c r="I74"/>
  <c r="H74"/>
  <c r="G74"/>
  <c r="F74"/>
  <c r="E74"/>
  <c r="D74"/>
  <c r="C74"/>
  <c r="CE73"/>
  <c r="CD73"/>
  <c r="BZ73"/>
  <c r="BW73"/>
  <c r="BD73"/>
  <c r="AX73"/>
  <c r="CI72"/>
  <c r="CH72"/>
  <c r="CE72"/>
  <c r="CD72"/>
  <c r="CC72"/>
  <c r="BY72"/>
  <c r="BX72"/>
  <c r="CK71"/>
  <c r="CJ71"/>
  <c r="CJ69" s="1"/>
  <c r="CF71"/>
  <c r="CA71"/>
  <c r="BV71"/>
  <c r="BV69" s="1"/>
  <c r="BN71"/>
  <c r="BN69" s="1"/>
  <c r="BL71"/>
  <c r="BL73" s="1"/>
  <c r="BJ71"/>
  <c r="BH71"/>
  <c r="BF71"/>
  <c r="BF69" s="1"/>
  <c r="BD71"/>
  <c r="BC71"/>
  <c r="BC73" s="1"/>
  <c r="BB71"/>
  <c r="BB73" s="1"/>
  <c r="AZ71"/>
  <c r="AZ69" s="1"/>
  <c r="AX71"/>
  <c r="AV71"/>
  <c r="AV69" s="1"/>
  <c r="AT71"/>
  <c r="AS71"/>
  <c r="AR71"/>
  <c r="AQ71"/>
  <c r="AJ71"/>
  <c r="AJ69" s="1"/>
  <c r="AH71"/>
  <c r="AF71"/>
  <c r="AF69" s="1"/>
  <c r="AD71"/>
  <c r="AB71"/>
  <c r="AB69" s="1"/>
  <c r="Z71"/>
  <c r="X71"/>
  <c r="X69" s="1"/>
  <c r="V71"/>
  <c r="T71"/>
  <c r="T69" s="1"/>
  <c r="R71"/>
  <c r="P71"/>
  <c r="P69" s="1"/>
  <c r="N71"/>
  <c r="L71"/>
  <c r="L69" s="1"/>
  <c r="K71"/>
  <c r="J71"/>
  <c r="J69" s="1"/>
  <c r="H71"/>
  <c r="F71"/>
  <c r="F69" s="1"/>
  <c r="D71"/>
  <c r="CK69"/>
  <c r="CA69"/>
  <c r="BP69"/>
  <c r="BL69"/>
  <c r="BH69"/>
  <c r="BD69"/>
  <c r="BC69"/>
  <c r="BB69"/>
  <c r="AX69"/>
  <c r="AT69"/>
  <c r="AS69"/>
  <c r="AR69"/>
  <c r="AQ69"/>
  <c r="AL69"/>
  <c r="AH69"/>
  <c r="AD69"/>
  <c r="Z69"/>
  <c r="V69"/>
  <c r="R69"/>
  <c r="N69"/>
  <c r="K69"/>
  <c r="H69"/>
  <c r="D69"/>
  <c r="CI68"/>
  <c r="CH68"/>
  <c r="CE68"/>
  <c r="CD68"/>
  <c r="CC68"/>
  <c r="BY68"/>
  <c r="BX68"/>
  <c r="CI67"/>
  <c r="CH67"/>
  <c r="CE67"/>
  <c r="CC67"/>
  <c r="BZ67"/>
  <c r="BY67"/>
  <c r="BW67"/>
  <c r="BV67"/>
  <c r="BU67"/>
  <c r="BU65" s="1"/>
  <c r="BT67"/>
  <c r="CI66"/>
  <c r="CH66"/>
  <c r="CE66"/>
  <c r="CD66"/>
  <c r="CC66"/>
  <c r="BY66"/>
  <c r="BX66"/>
  <c r="CI65"/>
  <c r="CH65"/>
  <c r="CB65"/>
  <c r="CA65"/>
  <c r="BZ65"/>
  <c r="BV65"/>
  <c r="BT65"/>
  <c r="BO65"/>
  <c r="BN65"/>
  <c r="BM65"/>
  <c r="BL65"/>
  <c r="BF65"/>
  <c r="AM65"/>
  <c r="Y65"/>
  <c r="X65"/>
  <c r="U65"/>
  <c r="T65"/>
  <c r="Q65"/>
  <c r="P65"/>
  <c r="M65"/>
  <c r="L65"/>
  <c r="CI64"/>
  <c r="CH64"/>
  <c r="CE64"/>
  <c r="CD64"/>
  <c r="CC64"/>
  <c r="BY64"/>
  <c r="BX64"/>
  <c r="CI63"/>
  <c r="CH63"/>
  <c r="CE63"/>
  <c r="CD63"/>
  <c r="CC63"/>
  <c r="BY63"/>
  <c r="BX63"/>
  <c r="CI62"/>
  <c r="CH62"/>
  <c r="CE62"/>
  <c r="CD62"/>
  <c r="CC62"/>
  <c r="BY62"/>
  <c r="BX62"/>
  <c r="CI61"/>
  <c r="CH61"/>
  <c r="CE61"/>
  <c r="CD61"/>
  <c r="CC61"/>
  <c r="BY61"/>
  <c r="BX61"/>
  <c r="CI60"/>
  <c r="CH60"/>
  <c r="CE60"/>
  <c r="CD60"/>
  <c r="CC60"/>
  <c r="BY60"/>
  <c r="BX60"/>
  <c r="CI59"/>
  <c r="CH59"/>
  <c r="CE59"/>
  <c r="CD59"/>
  <c r="CC59"/>
  <c r="BY59"/>
  <c r="BX59"/>
  <c r="CI58"/>
  <c r="CH58"/>
  <c r="CE58"/>
  <c r="CD58"/>
  <c r="CC58"/>
  <c r="BY58"/>
  <c r="BX58"/>
  <c r="CI57"/>
  <c r="CH57"/>
  <c r="CE57"/>
  <c r="CD57"/>
  <c r="CC57"/>
  <c r="BY57"/>
  <c r="BX57"/>
  <c r="CI56"/>
  <c r="CH56"/>
  <c r="CE56"/>
  <c r="CD56"/>
  <c r="CC56"/>
  <c r="BY56"/>
  <c r="BX56"/>
  <c r="CK55"/>
  <c r="CJ55"/>
  <c r="CI55"/>
  <c r="CG55"/>
  <c r="CH55" s="1"/>
  <c r="CF55"/>
  <c r="CB55"/>
  <c r="BZ55"/>
  <c r="BV55"/>
  <c r="BU55"/>
  <c r="BT55"/>
  <c r="BS55"/>
  <c r="BR55"/>
  <c r="BQ55"/>
  <c r="BO55"/>
  <c r="BN55"/>
  <c r="BM55"/>
  <c r="BL55"/>
  <c r="BK55"/>
  <c r="BJ55"/>
  <c r="BI55"/>
  <c r="BH55"/>
  <c r="BG55"/>
  <c r="BF55"/>
  <c r="BE55"/>
  <c r="BD55"/>
  <c r="AZ55"/>
  <c r="AY55"/>
  <c r="AX55"/>
  <c r="AW55"/>
  <c r="AV55"/>
  <c r="AU55"/>
  <c r="AT55"/>
  <c r="AP55"/>
  <c r="AO55"/>
  <c r="AN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CI54"/>
  <c r="CH54"/>
  <c r="CE54"/>
  <c r="CD54"/>
  <c r="CC54"/>
  <c r="BY54"/>
  <c r="BX54"/>
  <c r="CI53"/>
  <c r="CH53"/>
  <c r="CE53"/>
  <c r="CD53"/>
  <c r="CC53"/>
  <c r="BY53"/>
  <c r="BX53"/>
  <c r="CI52"/>
  <c r="CH52"/>
  <c r="CE52"/>
  <c r="CD52"/>
  <c r="CC52"/>
  <c r="BY52"/>
  <c r="BX52"/>
  <c r="CI51"/>
  <c r="CH51"/>
  <c r="CE51"/>
  <c r="CD51"/>
  <c r="CC51"/>
  <c r="CB51"/>
  <c r="BY51"/>
  <c r="BX51"/>
  <c r="U51"/>
  <c r="U50" s="1"/>
  <c r="CK50"/>
  <c r="CJ50"/>
  <c r="CG50"/>
  <c r="CF50"/>
  <c r="CH50" s="1"/>
  <c r="CB50"/>
  <c r="BZ50"/>
  <c r="BV50"/>
  <c r="BU50"/>
  <c r="BR50"/>
  <c r="BQ50"/>
  <c r="BO50"/>
  <c r="BM50"/>
  <c r="BK50"/>
  <c r="BJ50"/>
  <c r="BI50"/>
  <c r="BH50"/>
  <c r="BG50"/>
  <c r="AZ50"/>
  <c r="AY50"/>
  <c r="AX50"/>
  <c r="AV50"/>
  <c r="AU50"/>
  <c r="AT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T50"/>
  <c r="S50"/>
  <c r="R50"/>
  <c r="Q50"/>
  <c r="O50"/>
  <c r="N50"/>
  <c r="M50"/>
  <c r="L50"/>
  <c r="K50"/>
  <c r="J50"/>
  <c r="I50"/>
  <c r="H50"/>
  <c r="G50"/>
  <c r="F50"/>
  <c r="E50"/>
  <c r="D50"/>
  <c r="C50"/>
  <c r="CI49"/>
  <c r="CH49"/>
  <c r="CD49"/>
  <c r="CA49"/>
  <c r="BY49"/>
  <c r="BX49"/>
  <c r="CI48"/>
  <c r="CH48"/>
  <c r="CE48"/>
  <c r="CD48"/>
  <c r="CC48"/>
  <c r="BY48"/>
  <c r="BX48"/>
  <c r="CI47"/>
  <c r="CH47"/>
  <c r="CE47"/>
  <c r="CD47"/>
  <c r="CC47"/>
  <c r="BY47"/>
  <c r="BX47"/>
  <c r="CK46"/>
  <c r="CJ46"/>
  <c r="CG46"/>
  <c r="CF46"/>
  <c r="CF37" s="1"/>
  <c r="CB46"/>
  <c r="CB37" s="1"/>
  <c r="BZ46"/>
  <c r="BW46"/>
  <c r="BV46"/>
  <c r="BU46"/>
  <c r="BT46"/>
  <c r="BT37" s="1"/>
  <c r="BS46"/>
  <c r="BR46"/>
  <c r="BQ46"/>
  <c r="BP46"/>
  <c r="BP37" s="1"/>
  <c r="BO46"/>
  <c r="BN46"/>
  <c r="BM46"/>
  <c r="BL46"/>
  <c r="BL37" s="1"/>
  <c r="BK46"/>
  <c r="BJ46"/>
  <c r="BI46"/>
  <c r="BH46"/>
  <c r="BH37" s="1"/>
  <c r="BG46"/>
  <c r="BF46"/>
  <c r="BE46"/>
  <c r="AZ46"/>
  <c r="AY46"/>
  <c r="AX46"/>
  <c r="AX37" s="1"/>
  <c r="AW46"/>
  <c r="AV46"/>
  <c r="AU46"/>
  <c r="AT46"/>
  <c r="AT37" s="1"/>
  <c r="AP46"/>
  <c r="AO46"/>
  <c r="AO37" s="1"/>
  <c r="AN46"/>
  <c r="AM46"/>
  <c r="AM37" s="1"/>
  <c r="AL46"/>
  <c r="AK46"/>
  <c r="AK37" s="1"/>
  <c r="AJ46"/>
  <c r="AI46"/>
  <c r="AI37" s="1"/>
  <c r="AH46"/>
  <c r="AG46"/>
  <c r="AG37" s="1"/>
  <c r="AF46"/>
  <c r="AE46"/>
  <c r="AE37" s="1"/>
  <c r="AD46"/>
  <c r="AC46"/>
  <c r="AC37" s="1"/>
  <c r="AB46"/>
  <c r="AA46"/>
  <c r="AA37" s="1"/>
  <c r="Z46"/>
  <c r="Y46"/>
  <c r="Y37" s="1"/>
  <c r="X46"/>
  <c r="W46"/>
  <c r="W37" s="1"/>
  <c r="V46"/>
  <c r="U46"/>
  <c r="T46"/>
  <c r="S46"/>
  <c r="S37" s="1"/>
  <c r="R46"/>
  <c r="Q46"/>
  <c r="Q37" s="1"/>
  <c r="P46"/>
  <c r="O46"/>
  <c r="O37" s="1"/>
  <c r="N46"/>
  <c r="M46"/>
  <c r="M37" s="1"/>
  <c r="L46"/>
  <c r="K46"/>
  <c r="K37" s="1"/>
  <c r="J46"/>
  <c r="I46"/>
  <c r="I37" s="1"/>
  <c r="H46"/>
  <c r="G46"/>
  <c r="G37" s="1"/>
  <c r="F46"/>
  <c r="E46"/>
  <c r="E37" s="1"/>
  <c r="D46"/>
  <c r="C46"/>
  <c r="C37" s="1"/>
  <c r="CI45"/>
  <c r="CH45"/>
  <c r="CE45"/>
  <c r="CD45"/>
  <c r="CC45"/>
  <c r="BY45"/>
  <c r="BX45"/>
  <c r="CI44"/>
  <c r="CH44"/>
  <c r="CE44"/>
  <c r="CD44"/>
  <c r="CC44"/>
  <c r="BY44"/>
  <c r="BX44"/>
  <c r="AC44"/>
  <c r="U44"/>
  <c r="U39" s="1"/>
  <c r="U37" s="1"/>
  <c r="CI43"/>
  <c r="CH43"/>
  <c r="CD43"/>
  <c r="CC43"/>
  <c r="BY43"/>
  <c r="BX43"/>
  <c r="BN43"/>
  <c r="CE43" s="1"/>
  <c r="CI42"/>
  <c r="CH42"/>
  <c r="CE42"/>
  <c r="CD42"/>
  <c r="CC42"/>
  <c r="BY42"/>
  <c r="BX42"/>
  <c r="BO42"/>
  <c r="AG42"/>
  <c r="CI41"/>
  <c r="CH41"/>
  <c r="CE41"/>
  <c r="CD41"/>
  <c r="CC41"/>
  <c r="BY41"/>
  <c r="BX41"/>
  <c r="CI40"/>
  <c r="CH40"/>
  <c r="CE40"/>
  <c r="CD40"/>
  <c r="CC40"/>
  <c r="BY40"/>
  <c r="BX40"/>
  <c r="CK39"/>
  <c r="CJ39"/>
  <c r="CG39"/>
  <c r="CF39"/>
  <c r="CE39"/>
  <c r="CB39"/>
  <c r="CA39"/>
  <c r="BZ39"/>
  <c r="BW39"/>
  <c r="BV39"/>
  <c r="BU39"/>
  <c r="BU37" s="1"/>
  <c r="BT39"/>
  <c r="BS39"/>
  <c r="BS37" s="1"/>
  <c r="BR39"/>
  <c r="BQ39"/>
  <c r="BQ37" s="1"/>
  <c r="BP39"/>
  <c r="BO39"/>
  <c r="BO37" s="1"/>
  <c r="BN39"/>
  <c r="BM39"/>
  <c r="BM37" s="1"/>
  <c r="BL39"/>
  <c r="BK39"/>
  <c r="BK37" s="1"/>
  <c r="BJ39"/>
  <c r="BI39"/>
  <c r="BI37" s="1"/>
  <c r="BH39"/>
  <c r="BG39"/>
  <c r="BG37" s="1"/>
  <c r="BF39"/>
  <c r="BE39"/>
  <c r="BE37" s="1"/>
  <c r="BD39"/>
  <c r="BC39"/>
  <c r="BC37" s="1"/>
  <c r="AZ39"/>
  <c r="AY39"/>
  <c r="AY37" s="1"/>
  <c r="AX39"/>
  <c r="AW39"/>
  <c r="AW37" s="1"/>
  <c r="AV39"/>
  <c r="AU39"/>
  <c r="AU37" s="1"/>
  <c r="AT39"/>
  <c r="AP39"/>
  <c r="AP37" s="1"/>
  <c r="AO39"/>
  <c r="AN39"/>
  <c r="AN6" s="1"/>
  <c r="AM39"/>
  <c r="AL39"/>
  <c r="AL37" s="1"/>
  <c r="AK39"/>
  <c r="AJ39"/>
  <c r="AJ6" s="1"/>
  <c r="AI39"/>
  <c r="AH39"/>
  <c r="AH37" s="1"/>
  <c r="AG39"/>
  <c r="AF39"/>
  <c r="AF6" s="1"/>
  <c r="AE39"/>
  <c r="AD39"/>
  <c r="AD37" s="1"/>
  <c r="AC39"/>
  <c r="AB39"/>
  <c r="AA39"/>
  <c r="Z39"/>
  <c r="Z37" s="1"/>
  <c r="Y39"/>
  <c r="X39"/>
  <c r="X6" s="1"/>
  <c r="W39"/>
  <c r="V39"/>
  <c r="V37" s="1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CJ37"/>
  <c r="BZ37"/>
  <c r="BV37"/>
  <c r="BR37"/>
  <c r="BN37"/>
  <c r="BJ37"/>
  <c r="BF37"/>
  <c r="BD37"/>
  <c r="BB37"/>
  <c r="BA37"/>
  <c r="AZ37"/>
  <c r="AV37"/>
  <c r="AS37"/>
  <c r="AR37"/>
  <c r="AQ37"/>
  <c r="AN37"/>
  <c r="AJ37"/>
  <c r="AF37"/>
  <c r="AB37"/>
  <c r="X37"/>
  <c r="T37"/>
  <c r="R37"/>
  <c r="P37"/>
  <c r="N37"/>
  <c r="L37"/>
  <c r="J37"/>
  <c r="H37"/>
  <c r="F37"/>
  <c r="D37"/>
  <c r="CI36"/>
  <c r="CH36"/>
  <c r="CE36"/>
  <c r="CD36"/>
  <c r="CC36"/>
  <c r="BY36"/>
  <c r="BX36"/>
  <c r="CI35"/>
  <c r="CH35"/>
  <c r="CE35"/>
  <c r="CD35"/>
  <c r="CC35"/>
  <c r="BY35"/>
  <c r="BX35"/>
  <c r="CK34"/>
  <c r="CJ34"/>
  <c r="CG34"/>
  <c r="CH34" s="1"/>
  <c r="CF34"/>
  <c r="CE34"/>
  <c r="CB34"/>
  <c r="CA34"/>
  <c r="BZ34"/>
  <c r="BW34"/>
  <c r="BX34" s="1"/>
  <c r="BV34"/>
  <c r="BU34"/>
  <c r="BT34"/>
  <c r="BS34"/>
  <c r="BS7" s="1"/>
  <c r="BR34"/>
  <c r="BQ34"/>
  <c r="BP34"/>
  <c r="BO34"/>
  <c r="BN34"/>
  <c r="BM34"/>
  <c r="BL34"/>
  <c r="BK34"/>
  <c r="BK7" s="1"/>
  <c r="BJ34"/>
  <c r="BI34"/>
  <c r="BH34"/>
  <c r="BG34"/>
  <c r="BG7" s="1"/>
  <c r="BF34"/>
  <c r="BE34"/>
  <c r="AZ34"/>
  <c r="AY34"/>
  <c r="AY7" s="1"/>
  <c r="AX34"/>
  <c r="AW34"/>
  <c r="AV34"/>
  <c r="AU34"/>
  <c r="AU7" s="1"/>
  <c r="AT34"/>
  <c r="AP34"/>
  <c r="AP7" s="1"/>
  <c r="AO34"/>
  <c r="AN34"/>
  <c r="AN7" s="1"/>
  <c r="AM34"/>
  <c r="AL34"/>
  <c r="AK34"/>
  <c r="AJ34"/>
  <c r="AJ7" s="1"/>
  <c r="AI34"/>
  <c r="AH34"/>
  <c r="AH7" s="1"/>
  <c r="AG34"/>
  <c r="AF34"/>
  <c r="AF7" s="1"/>
  <c r="AE34"/>
  <c r="AD34"/>
  <c r="AD7" s="1"/>
  <c r="AC34"/>
  <c r="AB34"/>
  <c r="AA34"/>
  <c r="Z34"/>
  <c r="Z7" s="1"/>
  <c r="Y34"/>
  <c r="X34"/>
  <c r="X7" s="1"/>
  <c r="W34"/>
  <c r="V34"/>
  <c r="V7" s="1"/>
  <c r="U34"/>
  <c r="T34"/>
  <c r="S34"/>
  <c r="R34"/>
  <c r="R7" s="1"/>
  <c r="Q34"/>
  <c r="P34"/>
  <c r="O34"/>
  <c r="N34"/>
  <c r="N7" s="1"/>
  <c r="M34"/>
  <c r="L34"/>
  <c r="K34"/>
  <c r="J34"/>
  <c r="J7" s="1"/>
  <c r="I34"/>
  <c r="H34"/>
  <c r="H7" s="1"/>
  <c r="G34"/>
  <c r="F34"/>
  <c r="E34"/>
  <c r="D34"/>
  <c r="D7" s="1"/>
  <c r="C34"/>
  <c r="CI33"/>
  <c r="CH33"/>
  <c r="CE33"/>
  <c r="CD33"/>
  <c r="CC33"/>
  <c r="BY33"/>
  <c r="BX33"/>
  <c r="CI32"/>
  <c r="CH32"/>
  <c r="CE32"/>
  <c r="CD32"/>
  <c r="CC32"/>
  <c r="BY32"/>
  <c r="BX32"/>
  <c r="AV32"/>
  <c r="AB32"/>
  <c r="T32"/>
  <c r="T29" s="1"/>
  <c r="T22" s="1"/>
  <c r="T7" s="1"/>
  <c r="Q32"/>
  <c r="P32"/>
  <c r="P29" s="1"/>
  <c r="P22" s="1"/>
  <c r="P7" s="1"/>
  <c r="M32"/>
  <c r="L32"/>
  <c r="I32"/>
  <c r="F32"/>
  <c r="CI31"/>
  <c r="CH31"/>
  <c r="CE31"/>
  <c r="CD31"/>
  <c r="CC31"/>
  <c r="BY31"/>
  <c r="BX31"/>
  <c r="CI30"/>
  <c r="CH30"/>
  <c r="CE30"/>
  <c r="CD30"/>
  <c r="CC30"/>
  <c r="BY30"/>
  <c r="BX30"/>
  <c r="AV30"/>
  <c r="AB30"/>
  <c r="AB29" s="1"/>
  <c r="AB22" s="1"/>
  <c r="T30"/>
  <c r="Q30"/>
  <c r="P30"/>
  <c r="L30"/>
  <c r="L29" s="1"/>
  <c r="L22" s="1"/>
  <c r="L7" s="1"/>
  <c r="I30"/>
  <c r="F30"/>
  <c r="F29" s="1"/>
  <c r="F22" s="1"/>
  <c r="F7" s="1"/>
  <c r="CK29"/>
  <c r="CJ29"/>
  <c r="CG29"/>
  <c r="CI29" s="1"/>
  <c r="CF29"/>
  <c r="CH29" s="1"/>
  <c r="CD29"/>
  <c r="CB29"/>
  <c r="CA29"/>
  <c r="BZ29"/>
  <c r="BW29"/>
  <c r="BV29"/>
  <c r="BU29"/>
  <c r="BT29"/>
  <c r="BS29"/>
  <c r="BR29"/>
  <c r="BQ29"/>
  <c r="BP29"/>
  <c r="BX29" s="1"/>
  <c r="BO29"/>
  <c r="BN29"/>
  <c r="BM29"/>
  <c r="BL29"/>
  <c r="BK29"/>
  <c r="BJ29"/>
  <c r="BJ22" s="1"/>
  <c r="BI29"/>
  <c r="BH29"/>
  <c r="BG29"/>
  <c r="BF29"/>
  <c r="BF22" s="1"/>
  <c r="BE29"/>
  <c r="BD29"/>
  <c r="BC29"/>
  <c r="AZ29"/>
  <c r="AZ22" s="1"/>
  <c r="AY29"/>
  <c r="AX29"/>
  <c r="AX22" s="1"/>
  <c r="AW29"/>
  <c r="AV29"/>
  <c r="AV22" s="1"/>
  <c r="AU29"/>
  <c r="AT29"/>
  <c r="AT22" s="1"/>
  <c r="AP29"/>
  <c r="AO29"/>
  <c r="AO22" s="1"/>
  <c r="AO6" s="1"/>
  <c r="AN29"/>
  <c r="AM29"/>
  <c r="AM22" s="1"/>
  <c r="AL29"/>
  <c r="AK29"/>
  <c r="AK22" s="1"/>
  <c r="AJ29"/>
  <c r="AI29"/>
  <c r="AI22" s="1"/>
  <c r="AH29"/>
  <c r="AG29"/>
  <c r="AG22" s="1"/>
  <c r="AF29"/>
  <c r="AE29"/>
  <c r="AE22" s="1"/>
  <c r="AD29"/>
  <c r="AC29"/>
  <c r="AC22" s="1"/>
  <c r="AA29"/>
  <c r="Z29"/>
  <c r="Y29"/>
  <c r="X29"/>
  <c r="W29"/>
  <c r="V29"/>
  <c r="U29"/>
  <c r="S29"/>
  <c r="S22" s="1"/>
  <c r="R29"/>
  <c r="Q29"/>
  <c r="Q22" s="1"/>
  <c r="Q6" s="1"/>
  <c r="O29"/>
  <c r="N29"/>
  <c r="M29"/>
  <c r="K29"/>
  <c r="K22" s="1"/>
  <c r="J29"/>
  <c r="I29"/>
  <c r="I22" s="1"/>
  <c r="I6" s="1"/>
  <c r="H29"/>
  <c r="G29"/>
  <c r="G22" s="1"/>
  <c r="E29"/>
  <c r="D29"/>
  <c r="C29"/>
  <c r="CI28"/>
  <c r="CH28"/>
  <c r="CE28"/>
  <c r="CD28"/>
  <c r="CC28"/>
  <c r="BY28"/>
  <c r="BX28"/>
  <c r="AV28"/>
  <c r="CI27"/>
  <c r="CH27"/>
  <c r="CE27"/>
  <c r="CD27"/>
  <c r="CC27"/>
  <c r="BY27"/>
  <c r="BX27"/>
  <c r="AV27"/>
  <c r="CK26"/>
  <c r="CJ26"/>
  <c r="CG26"/>
  <c r="CF26"/>
  <c r="CH26" s="1"/>
  <c r="CD26"/>
  <c r="CB26"/>
  <c r="CA26"/>
  <c r="BZ26"/>
  <c r="BZ22" s="1"/>
  <c r="BW26"/>
  <c r="BY26" s="1"/>
  <c r="BV26"/>
  <c r="BU26"/>
  <c r="BT26"/>
  <c r="BS26"/>
  <c r="BR26"/>
  <c r="BQ26"/>
  <c r="BP26"/>
  <c r="BX26" s="1"/>
  <c r="BO26"/>
  <c r="BN26"/>
  <c r="BL26"/>
  <c r="BK26"/>
  <c r="BK22" s="1"/>
  <c r="BJ26"/>
  <c r="BI26"/>
  <c r="BI22" s="1"/>
  <c r="BH26"/>
  <c r="BG26"/>
  <c r="BG22" s="1"/>
  <c r="BF26"/>
  <c r="BE26"/>
  <c r="BE22" s="1"/>
  <c r="BD26"/>
  <c r="BC26"/>
  <c r="BC22" s="1"/>
  <c r="BA26"/>
  <c r="AZ26"/>
  <c r="AY26"/>
  <c r="AX26"/>
  <c r="AW26"/>
  <c r="AV26"/>
  <c r="AU26"/>
  <c r="AT26"/>
  <c r="AS26"/>
  <c r="AM26"/>
  <c r="AL26"/>
  <c r="AK26"/>
  <c r="CI25"/>
  <c r="CH25"/>
  <c r="CE25"/>
  <c r="CD25"/>
  <c r="CC25"/>
  <c r="BY25"/>
  <c r="BX25"/>
  <c r="CI24"/>
  <c r="CH24"/>
  <c r="CE24"/>
  <c r="CD24"/>
  <c r="CC24"/>
  <c r="BY24"/>
  <c r="BX24"/>
  <c r="AV24"/>
  <c r="AB24"/>
  <c r="AB23" s="1"/>
  <c r="T24"/>
  <c r="Q24"/>
  <c r="P24"/>
  <c r="M24"/>
  <c r="L24"/>
  <c r="I24"/>
  <c r="F24"/>
  <c r="CK23"/>
  <c r="CK22" s="1"/>
  <c r="CJ23"/>
  <c r="CG23"/>
  <c r="CF23"/>
  <c r="CB23"/>
  <c r="CA23"/>
  <c r="BW23"/>
  <c r="BV23"/>
  <c r="BU23"/>
  <c r="BT23"/>
  <c r="BS23"/>
  <c r="BR23"/>
  <c r="BQ23"/>
  <c r="BP23"/>
  <c r="BX23" s="1"/>
  <c r="BO23"/>
  <c r="BN23"/>
  <c r="CE23" s="1"/>
  <c r="BM23"/>
  <c r="BL23"/>
  <c r="BK23"/>
  <c r="BJ23"/>
  <c r="BI23"/>
  <c r="BH23"/>
  <c r="BG23"/>
  <c r="BF23"/>
  <c r="BE23"/>
  <c r="BD23"/>
  <c r="BC23"/>
  <c r="BB23"/>
  <c r="BB22" s="1"/>
  <c r="BA23"/>
  <c r="AZ23"/>
  <c r="AY23"/>
  <c r="AX23"/>
  <c r="AW23"/>
  <c r="AV23"/>
  <c r="AU23"/>
  <c r="AT23"/>
  <c r="AP23"/>
  <c r="AO23"/>
  <c r="AN23"/>
  <c r="AM23"/>
  <c r="AL23"/>
  <c r="AK23"/>
  <c r="AJ23"/>
  <c r="AI23"/>
  <c r="AH23"/>
  <c r="AG23"/>
  <c r="AF23"/>
  <c r="AE23"/>
  <c r="AD23"/>
  <c r="AC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CJ22"/>
  <c r="CJ7" s="1"/>
  <c r="CF22"/>
  <c r="CF7" s="1"/>
  <c r="CB22"/>
  <c r="CB7" s="1"/>
  <c r="BW22"/>
  <c r="BV22"/>
  <c r="BV6" s="1"/>
  <c r="BU22"/>
  <c r="BT22"/>
  <c r="BT6" s="1"/>
  <c r="BS22"/>
  <c r="BR22"/>
  <c r="BR6" s="1"/>
  <c r="BQ22"/>
  <c r="BP22"/>
  <c r="BP6" s="1"/>
  <c r="BO22"/>
  <c r="BN22"/>
  <c r="BM22"/>
  <c r="BL22"/>
  <c r="BH22"/>
  <c r="BD22"/>
  <c r="BA22"/>
  <c r="AY22"/>
  <c r="AW22"/>
  <c r="AU22"/>
  <c r="AP22"/>
  <c r="AN22"/>
  <c r="AL22"/>
  <c r="AJ22"/>
  <c r="AH22"/>
  <c r="AF22"/>
  <c r="AD22"/>
  <c r="AA22"/>
  <c r="Z22"/>
  <c r="Y22"/>
  <c r="X22"/>
  <c r="W22"/>
  <c r="V22"/>
  <c r="U22"/>
  <c r="R22"/>
  <c r="O22"/>
  <c r="N22"/>
  <c r="M22"/>
  <c r="J22"/>
  <c r="H22"/>
  <c r="E22"/>
  <c r="D22"/>
  <c r="C22"/>
  <c r="CI21"/>
  <c r="CH21"/>
  <c r="CE21"/>
  <c r="CD21"/>
  <c r="CC21"/>
  <c r="BY21"/>
  <c r="BX21"/>
  <c r="AV21"/>
  <c r="AC21"/>
  <c r="AB21"/>
  <c r="T21"/>
  <c r="M21"/>
  <c r="L21"/>
  <c r="CI20"/>
  <c r="CH20"/>
  <c r="CE20"/>
  <c r="CD20"/>
  <c r="CC20"/>
  <c r="BY20"/>
  <c r="BX20"/>
  <c r="CI19"/>
  <c r="CH19"/>
  <c r="CE19"/>
  <c r="CD19"/>
  <c r="CC19"/>
  <c r="BY19"/>
  <c r="BX19"/>
  <c r="CI18"/>
  <c r="CH18"/>
  <c r="CE18"/>
  <c r="CD18"/>
  <c r="CC18"/>
  <c r="BY18"/>
  <c r="BX18"/>
  <c r="CI17"/>
  <c r="CH17"/>
  <c r="CE17"/>
  <c r="CD17"/>
  <c r="CC17"/>
  <c r="BY17"/>
  <c r="BX17"/>
  <c r="CK16"/>
  <c r="CJ16"/>
  <c r="CI16"/>
  <c r="CG16"/>
  <c r="CH16" s="1"/>
  <c r="CF16"/>
  <c r="CB16"/>
  <c r="CA16"/>
  <c r="CD16" s="1"/>
  <c r="BW16"/>
  <c r="BY16" s="1"/>
  <c r="BV16"/>
  <c r="BU16"/>
  <c r="BT16"/>
  <c r="BS16"/>
  <c r="BR16"/>
  <c r="BQ16"/>
  <c r="BP16"/>
  <c r="BX16" s="1"/>
  <c r="BO16"/>
  <c r="BN16"/>
  <c r="BL16"/>
  <c r="BK16"/>
  <c r="BJ16"/>
  <c r="BI16"/>
  <c r="BH16"/>
  <c r="BG16"/>
  <c r="BF16"/>
  <c r="BE16"/>
  <c r="BD16"/>
  <c r="BC16"/>
  <c r="AZ16"/>
  <c r="AY16"/>
  <c r="AX16"/>
  <c r="AW16"/>
  <c r="AV16"/>
  <c r="AU16"/>
  <c r="AT16"/>
  <c r="AP16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CD15"/>
  <c r="CA15"/>
  <c r="CI14"/>
  <c r="CH14"/>
  <c r="CD14"/>
  <c r="CC14"/>
  <c r="BY14"/>
  <c r="BX14"/>
  <c r="BO14"/>
  <c r="BO9" s="1"/>
  <c r="BO7" s="1"/>
  <c r="BN14"/>
  <c r="CE14" s="1"/>
  <c r="CI13"/>
  <c r="CH13"/>
  <c r="CE13"/>
  <c r="CD13"/>
  <c r="CC13"/>
  <c r="BY13"/>
  <c r="BX13"/>
  <c r="CI12"/>
  <c r="CH12"/>
  <c r="CE12"/>
  <c r="CD12"/>
  <c r="CC12"/>
  <c r="BY12"/>
  <c r="BX12"/>
  <c r="AV12"/>
  <c r="AM12"/>
  <c r="AL12"/>
  <c r="AC12"/>
  <c r="AB12"/>
  <c r="T12"/>
  <c r="Q12"/>
  <c r="P12"/>
  <c r="M12"/>
  <c r="L12"/>
  <c r="I12"/>
  <c r="CI11"/>
  <c r="CH11"/>
  <c r="CE11"/>
  <c r="CD11"/>
  <c r="CC11"/>
  <c r="BY11"/>
  <c r="BX11"/>
  <c r="AV11"/>
  <c r="AM11"/>
  <c r="AL11"/>
  <c r="AC11"/>
  <c r="AB11"/>
  <c r="T11"/>
  <c r="Q11"/>
  <c r="P11"/>
  <c r="M11"/>
  <c r="L11"/>
  <c r="I11"/>
  <c r="F11"/>
  <c r="CI10"/>
  <c r="CH10"/>
  <c r="CE10"/>
  <c r="CD10"/>
  <c r="CC10"/>
  <c r="BY10"/>
  <c r="BX10"/>
  <c r="AW10"/>
  <c r="AV10"/>
  <c r="AC10"/>
  <c r="AB10"/>
  <c r="AB9" s="1"/>
  <c r="AB7" s="1"/>
  <c r="T10"/>
  <c r="Q10"/>
  <c r="P10"/>
  <c r="M10"/>
  <c r="L10"/>
  <c r="I10"/>
  <c r="F10"/>
  <c r="CK9"/>
  <c r="CK6" s="1"/>
  <c r="CJ9"/>
  <c r="CI9"/>
  <c r="CG9"/>
  <c r="CF9"/>
  <c r="CB9"/>
  <c r="CA9"/>
  <c r="BW9"/>
  <c r="BY9" s="1"/>
  <c r="BV9"/>
  <c r="BU9"/>
  <c r="BT9"/>
  <c r="BS9"/>
  <c r="BR9"/>
  <c r="BQ9"/>
  <c r="BP9"/>
  <c r="BN9"/>
  <c r="BN7" s="1"/>
  <c r="BM9"/>
  <c r="BL9"/>
  <c r="BL7" s="1"/>
  <c r="BK9"/>
  <c r="BJ9"/>
  <c r="BI9"/>
  <c r="BH9"/>
  <c r="BH7" s="1"/>
  <c r="BG9"/>
  <c r="BF9"/>
  <c r="BE9"/>
  <c r="BD9"/>
  <c r="BD7" s="1"/>
  <c r="BC9"/>
  <c r="AZ9"/>
  <c r="AY9"/>
  <c r="AX9"/>
  <c r="AW9"/>
  <c r="AV9"/>
  <c r="AU9"/>
  <c r="AT9"/>
  <c r="AP9"/>
  <c r="AO9"/>
  <c r="AN9"/>
  <c r="AM9"/>
  <c r="AK9"/>
  <c r="AJ9"/>
  <c r="AI9"/>
  <c r="AH9"/>
  <c r="AG9"/>
  <c r="AF9"/>
  <c r="AE9"/>
  <c r="AD9"/>
  <c r="AC9"/>
  <c r="AA9"/>
  <c r="Z9"/>
  <c r="Y9"/>
  <c r="Y7" s="1"/>
  <c r="X9"/>
  <c r="W9"/>
  <c r="V9"/>
  <c r="U9"/>
  <c r="U7" s="1"/>
  <c r="T9"/>
  <c r="S9"/>
  <c r="R9"/>
  <c r="Q9"/>
  <c r="P9"/>
  <c r="O9"/>
  <c r="N9"/>
  <c r="M9"/>
  <c r="M7" s="1"/>
  <c r="L9"/>
  <c r="K9"/>
  <c r="J9"/>
  <c r="I9"/>
  <c r="H9"/>
  <c r="G9"/>
  <c r="F9"/>
  <c r="E9"/>
  <c r="E7" s="1"/>
  <c r="D9"/>
  <c r="C9"/>
  <c r="CK7"/>
  <c r="BU7"/>
  <c r="BQ7"/>
  <c r="BM7"/>
  <c r="BI7"/>
  <c r="BE7"/>
  <c r="BC7"/>
  <c r="BA7"/>
  <c r="AW7"/>
  <c r="AS7"/>
  <c r="AR7"/>
  <c r="AQ7"/>
  <c r="AA7"/>
  <c r="W7"/>
  <c r="O7"/>
  <c r="C7"/>
  <c r="BU6"/>
  <c r="BS6"/>
  <c r="BQ6"/>
  <c r="BO6"/>
  <c r="BM6"/>
  <c r="BK6"/>
  <c r="BI6"/>
  <c r="BG6"/>
  <c r="BE6"/>
  <c r="BC6"/>
  <c r="BA6"/>
  <c r="AY6"/>
  <c r="AW6"/>
  <c r="AU6"/>
  <c r="AS6"/>
  <c r="AR6"/>
  <c r="AQ6"/>
  <c r="AA6"/>
  <c r="Y6"/>
  <c r="W6"/>
  <c r="U6"/>
  <c r="O6"/>
  <c r="M6"/>
  <c r="E6"/>
  <c r="C6"/>
  <c r="K6" l="1"/>
  <c r="K7"/>
  <c r="S7"/>
  <c r="S6"/>
  <c r="AC7"/>
  <c r="AC6"/>
  <c r="AE7"/>
  <c r="AE6"/>
  <c r="AG7"/>
  <c r="AG6"/>
  <c r="AI7"/>
  <c r="AI6"/>
  <c r="AK7"/>
  <c r="AK6"/>
  <c r="AM7"/>
  <c r="AM6"/>
  <c r="AN127"/>
  <c r="AN70"/>
  <c r="BR127"/>
  <c r="BR70" s="1"/>
  <c r="BT127"/>
  <c r="BT70"/>
  <c r="BB7"/>
  <c r="BB6"/>
  <c r="G7"/>
  <c r="G6"/>
  <c r="AN8"/>
  <c r="I7"/>
  <c r="Q7"/>
  <c r="AO7"/>
  <c r="BZ7"/>
  <c r="BZ6"/>
  <c r="BT38"/>
  <c r="BZ70"/>
  <c r="BZ127"/>
  <c r="CD9"/>
  <c r="CC9"/>
  <c r="BX22"/>
  <c r="X127"/>
  <c r="X8" s="1"/>
  <c r="X70"/>
  <c r="AF127"/>
  <c r="AF8" s="1"/>
  <c r="AF70"/>
  <c r="AJ127"/>
  <c r="AJ8" s="1"/>
  <c r="BJ73"/>
  <c r="BJ69"/>
  <c r="CF73"/>
  <c r="BV73"/>
  <c r="CF69"/>
  <c r="AU127"/>
  <c r="AU38" s="1"/>
  <c r="AU70"/>
  <c r="AW127"/>
  <c r="AW70" s="1"/>
  <c r="AY127"/>
  <c r="AY38" s="1"/>
  <c r="BA73"/>
  <c r="BA69"/>
  <c r="BE127"/>
  <c r="BE70" s="1"/>
  <c r="CC73"/>
  <c r="BX73"/>
  <c r="BX89"/>
  <c r="CE89"/>
  <c r="CE101"/>
  <c r="CC101"/>
  <c r="CD101"/>
  <c r="J127"/>
  <c r="J8" s="1"/>
  <c r="BV127"/>
  <c r="BV70" s="1"/>
  <c r="W8"/>
  <c r="AW8"/>
  <c r="AT7"/>
  <c r="AV7"/>
  <c r="AX7"/>
  <c r="AZ7"/>
  <c r="BF7"/>
  <c r="BJ7"/>
  <c r="AL9"/>
  <c r="CC16"/>
  <c r="CH23"/>
  <c r="CG22"/>
  <c r="CE29"/>
  <c r="X38"/>
  <c r="AF38"/>
  <c r="AJ38"/>
  <c r="AN38"/>
  <c r="BB38"/>
  <c r="BR38"/>
  <c r="BZ38"/>
  <c r="BX39"/>
  <c r="CH39"/>
  <c r="CG37"/>
  <c r="BX46"/>
  <c r="CH46"/>
  <c r="CE65"/>
  <c r="N127"/>
  <c r="N8" s="1"/>
  <c r="V127"/>
  <c r="V8" s="1"/>
  <c r="BH127"/>
  <c r="BH38" s="1"/>
  <c r="BP127"/>
  <c r="BP38" s="1"/>
  <c r="D6"/>
  <c r="D127" s="1"/>
  <c r="F6"/>
  <c r="F127" s="1"/>
  <c r="H6"/>
  <c r="H127" s="1"/>
  <c r="J6"/>
  <c r="L6"/>
  <c r="L127" s="1"/>
  <c r="N6"/>
  <c r="P6"/>
  <c r="P127" s="1"/>
  <c r="R6"/>
  <c r="T6"/>
  <c r="T127" s="1"/>
  <c r="V6"/>
  <c r="Z6"/>
  <c r="Z127" s="1"/>
  <c r="Z8" s="1"/>
  <c r="AB6"/>
  <c r="AB127" s="1"/>
  <c r="AD6"/>
  <c r="AD127" s="1"/>
  <c r="AH6"/>
  <c r="AP6"/>
  <c r="AP127" s="1"/>
  <c r="AT6"/>
  <c r="AV6"/>
  <c r="AV127" s="1"/>
  <c r="AX6"/>
  <c r="AZ6"/>
  <c r="AZ127" s="1"/>
  <c r="BD6"/>
  <c r="BF6"/>
  <c r="BF127" s="1"/>
  <c r="BH6"/>
  <c r="BJ6"/>
  <c r="BL6"/>
  <c r="BN6"/>
  <c r="BN127" s="1"/>
  <c r="CB6"/>
  <c r="CB127" s="1"/>
  <c r="CF6"/>
  <c r="CJ6"/>
  <c r="BW7"/>
  <c r="CA7"/>
  <c r="BP7"/>
  <c r="BR7"/>
  <c r="BR8" s="1"/>
  <c r="BT7"/>
  <c r="BT8" s="1"/>
  <c r="BV7"/>
  <c r="BV8" s="1"/>
  <c r="BX9"/>
  <c r="CE9"/>
  <c r="CH9"/>
  <c r="CG6"/>
  <c r="CE15"/>
  <c r="CC15"/>
  <c r="CE16"/>
  <c r="BY22"/>
  <c r="BY23"/>
  <c r="CD23"/>
  <c r="CA22"/>
  <c r="CC23"/>
  <c r="CI23"/>
  <c r="CE26"/>
  <c r="CI26"/>
  <c r="BY29"/>
  <c r="BY34"/>
  <c r="CD34"/>
  <c r="CC34"/>
  <c r="CI34"/>
  <c r="J38"/>
  <c r="BY39"/>
  <c r="CD39"/>
  <c r="CC39"/>
  <c r="CI39"/>
  <c r="CK37"/>
  <c r="BY46"/>
  <c r="CI46"/>
  <c r="CE49"/>
  <c r="CC49"/>
  <c r="CA46"/>
  <c r="CI50"/>
  <c r="CD67"/>
  <c r="BX67"/>
  <c r="BW65"/>
  <c r="Z70"/>
  <c r="AR127"/>
  <c r="AR8" s="1"/>
  <c r="AT70"/>
  <c r="AT127"/>
  <c r="AT38" s="1"/>
  <c r="BB70"/>
  <c r="BB127"/>
  <c r="BD127"/>
  <c r="BD8" s="1"/>
  <c r="BL127"/>
  <c r="BL8" s="1"/>
  <c r="CJ127"/>
  <c r="CJ38" s="1"/>
  <c r="R127"/>
  <c r="R8" s="1"/>
  <c r="AH127"/>
  <c r="AH8" s="1"/>
  <c r="AX127"/>
  <c r="AX70" s="1"/>
  <c r="CC26"/>
  <c r="CC29"/>
  <c r="CE71"/>
  <c r="BY73"/>
  <c r="Q127"/>
  <c r="Q70" s="1"/>
  <c r="S127"/>
  <c r="U69"/>
  <c r="W127"/>
  <c r="Y127"/>
  <c r="Y70" s="1"/>
  <c r="AA127"/>
  <c r="AC127"/>
  <c r="AC70" s="1"/>
  <c r="AE127"/>
  <c r="AG127"/>
  <c r="AG70" s="1"/>
  <c r="AI127"/>
  <c r="AK127"/>
  <c r="AK70" s="1"/>
  <c r="AM127"/>
  <c r="AO127"/>
  <c r="AO70" s="1"/>
  <c r="BG71"/>
  <c r="BI71"/>
  <c r="BI69" s="1"/>
  <c r="BK71"/>
  <c r="BM127"/>
  <c r="BM70" s="1"/>
  <c r="BO69"/>
  <c r="BQ127"/>
  <c r="BQ70" s="1"/>
  <c r="BS127"/>
  <c r="BU71"/>
  <c r="BU69" s="1"/>
  <c r="BX74"/>
  <c r="BY74"/>
  <c r="BW71"/>
  <c r="CH74"/>
  <c r="CI74"/>
  <c r="CG71"/>
  <c r="CH77"/>
  <c r="CI77"/>
  <c r="C69"/>
  <c r="E127"/>
  <c r="E70" s="1"/>
  <c r="G127"/>
  <c r="I127"/>
  <c r="I70" s="1"/>
  <c r="M127"/>
  <c r="M70" s="1"/>
  <c r="O127"/>
  <c r="K127"/>
  <c r="AQ127"/>
  <c r="AS127"/>
  <c r="AS8" s="1"/>
  <c r="BC127"/>
  <c r="CC69"/>
  <c r="CE69"/>
  <c r="CK127"/>
  <c r="CK70" s="1"/>
  <c r="CC71"/>
  <c r="CD74"/>
  <c r="CC74"/>
  <c r="CD77"/>
  <c r="CC77"/>
  <c r="BY89"/>
  <c r="CE93"/>
  <c r="CI93"/>
  <c r="CE98"/>
  <c r="CC98"/>
  <c r="CC89"/>
  <c r="CC93"/>
  <c r="AP8" l="1"/>
  <c r="AP38"/>
  <c r="AP70"/>
  <c r="BN8"/>
  <c r="BN38"/>
  <c r="BN70"/>
  <c r="BF70"/>
  <c r="BF38"/>
  <c r="AZ38"/>
  <c r="AZ70"/>
  <c r="AV38"/>
  <c r="AV70"/>
  <c r="AD8"/>
  <c r="AD38"/>
  <c r="AD70"/>
  <c r="T38"/>
  <c r="T8"/>
  <c r="T70"/>
  <c r="P8"/>
  <c r="P38"/>
  <c r="P70"/>
  <c r="L8"/>
  <c r="L38"/>
  <c r="L70"/>
  <c r="H38"/>
  <c r="H70"/>
  <c r="H8"/>
  <c r="D8"/>
  <c r="D38"/>
  <c r="D70"/>
  <c r="CB70"/>
  <c r="CB8"/>
  <c r="CB38"/>
  <c r="AB8"/>
  <c r="AB38"/>
  <c r="AB70"/>
  <c r="F8"/>
  <c r="F38"/>
  <c r="F70"/>
  <c r="AJ70"/>
  <c r="J70"/>
  <c r="BM8"/>
  <c r="BL38"/>
  <c r="AX38"/>
  <c r="AO38"/>
  <c r="AG38"/>
  <c r="Y38"/>
  <c r="M38"/>
  <c r="E38"/>
  <c r="BH8"/>
  <c r="AO8"/>
  <c r="M8"/>
  <c r="E8"/>
  <c r="V38"/>
  <c r="AY8"/>
  <c r="CJ8"/>
  <c r="BQ38"/>
  <c r="AW38"/>
  <c r="Z38"/>
  <c r="K8"/>
  <c r="BC70"/>
  <c r="BC38"/>
  <c r="AQ70"/>
  <c r="AQ38"/>
  <c r="O70"/>
  <c r="O38"/>
  <c r="CG73"/>
  <c r="CI71"/>
  <c r="CG69"/>
  <c r="CH71"/>
  <c r="CL71"/>
  <c r="BU127"/>
  <c r="BI127"/>
  <c r="U127"/>
  <c r="BX65"/>
  <c r="BW6"/>
  <c r="CE46"/>
  <c r="CC46"/>
  <c r="CD46"/>
  <c r="CA37"/>
  <c r="BD38"/>
  <c r="R38"/>
  <c r="CI6"/>
  <c r="CH6"/>
  <c r="CD7"/>
  <c r="CE7"/>
  <c r="CC7"/>
  <c r="BC8"/>
  <c r="CD65"/>
  <c r="CI37"/>
  <c r="CH37"/>
  <c r="BW37"/>
  <c r="CI22"/>
  <c r="CH22"/>
  <c r="CG7"/>
  <c r="AZ8"/>
  <c r="AV8"/>
  <c r="CF127"/>
  <c r="AS70"/>
  <c r="AS38"/>
  <c r="K70"/>
  <c r="K38"/>
  <c r="G70"/>
  <c r="G38"/>
  <c r="C127"/>
  <c r="BY71"/>
  <c r="BU73" s="1"/>
  <c r="BW69"/>
  <c r="CD71"/>
  <c r="BX71"/>
  <c r="BS70"/>
  <c r="BS38"/>
  <c r="BO127"/>
  <c r="BK69"/>
  <c r="BK73"/>
  <c r="BG73"/>
  <c r="BG69"/>
  <c r="AM70"/>
  <c r="AM38"/>
  <c r="AI70"/>
  <c r="AI38"/>
  <c r="AE70"/>
  <c r="AE38"/>
  <c r="AA70"/>
  <c r="AA38"/>
  <c r="W70"/>
  <c r="W38"/>
  <c r="S70"/>
  <c r="S38"/>
  <c r="CJ70"/>
  <c r="BL70"/>
  <c r="BD70"/>
  <c r="AR70"/>
  <c r="AH70"/>
  <c r="R70"/>
  <c r="CK38"/>
  <c r="AR38"/>
  <c r="N38"/>
  <c r="CE22"/>
  <c r="CC22"/>
  <c r="CD22"/>
  <c r="BP8"/>
  <c r="BX7"/>
  <c r="BY7"/>
  <c r="BP70"/>
  <c r="BH70"/>
  <c r="V70"/>
  <c r="N70"/>
  <c r="BV38"/>
  <c r="AL7"/>
  <c r="AL6"/>
  <c r="AL127" s="1"/>
  <c r="BF8"/>
  <c r="AX8"/>
  <c r="AT8"/>
  <c r="BQ8"/>
  <c r="BE8"/>
  <c r="AQ8"/>
  <c r="O8"/>
  <c r="BA127"/>
  <c r="AY70"/>
  <c r="BJ127"/>
  <c r="BJ38" s="1"/>
  <c r="CA6"/>
  <c r="CK8"/>
  <c r="AA8"/>
  <c r="AK38"/>
  <c r="AC38"/>
  <c r="Q38"/>
  <c r="I38"/>
  <c r="BZ8"/>
  <c r="Y8"/>
  <c r="Q8"/>
  <c r="I8"/>
  <c r="AH38"/>
  <c r="G8"/>
  <c r="BB8"/>
  <c r="BM38"/>
  <c r="BE38"/>
  <c r="BS8"/>
  <c r="AU8"/>
  <c r="AM8"/>
  <c r="AK8"/>
  <c r="AI8"/>
  <c r="AG8"/>
  <c r="AE8"/>
  <c r="AC8"/>
  <c r="S8"/>
  <c r="BA38" l="1"/>
  <c r="BA8"/>
  <c r="AL70"/>
  <c r="AL38"/>
  <c r="BK127"/>
  <c r="BK70" s="1"/>
  <c r="BO38"/>
  <c r="BO8"/>
  <c r="C38"/>
  <c r="C8"/>
  <c r="CF38"/>
  <c r="CF8"/>
  <c r="CH7"/>
  <c r="CI7"/>
  <c r="U38"/>
  <c r="U8"/>
  <c r="BI8"/>
  <c r="BI38"/>
  <c r="BU38"/>
  <c r="BU8"/>
  <c r="CE6"/>
  <c r="CC6"/>
  <c r="CD6"/>
  <c r="CA127"/>
  <c r="BJ70"/>
  <c r="BA70"/>
  <c r="AL8"/>
  <c r="BG127"/>
  <c r="BG70" s="1"/>
  <c r="BO70"/>
  <c r="BS73"/>
  <c r="BT73"/>
  <c r="BW127"/>
  <c r="BY69"/>
  <c r="BW70"/>
  <c r="CD69"/>
  <c r="BX69"/>
  <c r="C70"/>
  <c r="CF70"/>
  <c r="BJ8"/>
  <c r="BY37"/>
  <c r="BX37"/>
  <c r="BW38"/>
  <c r="CE37"/>
  <c r="CC37"/>
  <c r="CA38"/>
  <c r="CD37"/>
  <c r="BY6"/>
  <c r="BX6"/>
  <c r="U70"/>
  <c r="BI70"/>
  <c r="BU70"/>
  <c r="CG127"/>
  <c r="CI69"/>
  <c r="CG70"/>
  <c r="CH69"/>
  <c r="CI73"/>
  <c r="CH73"/>
  <c r="CH70" l="1"/>
  <c r="CI70"/>
  <c r="CI127"/>
  <c r="CH127"/>
  <c r="CG38"/>
  <c r="BY127"/>
  <c r="BX127"/>
  <c r="BW8"/>
  <c r="BG38"/>
  <c r="BG8"/>
  <c r="CE127"/>
  <c r="CC127"/>
  <c r="CA70"/>
  <c r="CD127"/>
  <c r="CA8"/>
  <c r="CG8"/>
  <c r="BK38"/>
  <c r="BK8"/>
  <c r="CI8" l="1"/>
  <c r="CH8"/>
  <c r="CH38"/>
  <c r="CI38"/>
</calcChain>
</file>

<file path=xl/comments1.xml><?xml version="1.0" encoding="utf-8"?>
<comments xmlns="http://schemas.openxmlformats.org/spreadsheetml/2006/main">
  <authors>
    <author>Автор</author>
  </authors>
  <commentList>
    <comment ref="E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H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K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O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S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W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A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E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K8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</commentList>
</comments>
</file>

<file path=xl/sharedStrings.xml><?xml version="1.0" encoding="utf-8"?>
<sst xmlns="http://schemas.openxmlformats.org/spreadsheetml/2006/main" count="1653" uniqueCount="591">
  <si>
    <t>Приложение №1</t>
  </si>
  <si>
    <t>Анализ доходов бюджета сельского поселения Перегребное</t>
  </si>
  <si>
    <t>Код бюджетной классификации</t>
  </si>
  <si>
    <t>Наименование дохода</t>
  </si>
  <si>
    <t>исполнение за 2011 год</t>
  </si>
  <si>
    <t>РСД от  28.12.2011 № 53</t>
  </si>
  <si>
    <t>РСД от  28.12.2012  №65</t>
  </si>
  <si>
    <t>исполнение за 2012 год</t>
  </si>
  <si>
    <t>РСД от  28.12.2012 № 66</t>
  </si>
  <si>
    <t>РСД от  26.12.2013  № 27</t>
  </si>
  <si>
    <t>исполнение за 2013 год</t>
  </si>
  <si>
    <t>РСД от  26.12.2013 № 28</t>
  </si>
  <si>
    <t>РСД от  26.12.2014  № 48</t>
  </si>
  <si>
    <t>исполнение за 2014 год</t>
  </si>
  <si>
    <t>начисление за 2014 год</t>
  </si>
  <si>
    <t>РСД от  26.12.2014 № 46</t>
  </si>
  <si>
    <t>РСД от  25.12.2015  № 45</t>
  </si>
  <si>
    <t>исполнение за 2015 год</t>
  </si>
  <si>
    <t>начисление за 2015 год</t>
  </si>
  <si>
    <t>РСД от  25.12.2015 № 46</t>
  </si>
  <si>
    <t>РСД от  29.12.2016  № 55</t>
  </si>
  <si>
    <t>исполнение за 2016 год</t>
  </si>
  <si>
    <t>начисление за 2016 год</t>
  </si>
  <si>
    <t>РСД от 29.12.2016 №56</t>
  </si>
  <si>
    <t>РСД от  29.12.2017  № 44</t>
  </si>
  <si>
    <t>исполнение за 2017 год</t>
  </si>
  <si>
    <t>начисление за 2017 год</t>
  </si>
  <si>
    <t>РСД от 29.12.2017 №45</t>
  </si>
  <si>
    <t>РСД от  27.12.2018  № 18</t>
  </si>
  <si>
    <t>исполнение за 2018 год</t>
  </si>
  <si>
    <t>начисление за 2018 год</t>
  </si>
  <si>
    <t>РСД от 27.12.2018 №17</t>
  </si>
  <si>
    <t>РСД от  27.12.2019  № 61</t>
  </si>
  <si>
    <t>исполнение за 2019 год</t>
  </si>
  <si>
    <t>начисление за 2019 год</t>
  </si>
  <si>
    <t>РСД от 16.12.2019 №59</t>
  </si>
  <si>
    <t>РСД от  29.12.2020 № 43</t>
  </si>
  <si>
    <t>исполнение за 2020 год</t>
  </si>
  <si>
    <t>начисление за 2020 год</t>
  </si>
  <si>
    <t>РСД от 22.12.20 №40</t>
  </si>
  <si>
    <t>РСД от 15.04.21 №12</t>
  </si>
  <si>
    <t>РСД от 31.05.21 №16</t>
  </si>
  <si>
    <t>РСД от 14.09.21 №26</t>
  </si>
  <si>
    <t>РСД от 15.11.21 №35</t>
  </si>
  <si>
    <t>РСД от 28.12.2021 №43</t>
  </si>
  <si>
    <t>исполнение за 2021 год</t>
  </si>
  <si>
    <t>начисление за 2021 год</t>
  </si>
  <si>
    <t>РСД от 20.12.21 №41</t>
  </si>
  <si>
    <t>РСД от 21.03.22 №6</t>
  </si>
  <si>
    <t>РСД 14.06.22 №16</t>
  </si>
  <si>
    <t>РСД 20.10.22 №26</t>
  </si>
  <si>
    <t>РСД 23.12.22 №36</t>
  </si>
  <si>
    <t>исполнение за 2022 год</t>
  </si>
  <si>
    <t>начисление за 2022 год</t>
  </si>
  <si>
    <t>РСД от 23.12.2022 №37</t>
  </si>
  <si>
    <t>РСД от 07.04.2023 №14</t>
  </si>
  <si>
    <t>РСД от 29.06.23 №28</t>
  </si>
  <si>
    <t>РСД от 22.12.23 №25</t>
  </si>
  <si>
    <t>ожидаемое исполнение за 2023 год</t>
  </si>
  <si>
    <t>исполнение за 2023 год</t>
  </si>
  <si>
    <t>начисление за 2023 год</t>
  </si>
  <si>
    <t>РСД от 26.12.2023 №27</t>
  </si>
  <si>
    <t>РСД от 01.03.2024 №11</t>
  </si>
  <si>
    <t>РСД от 17.05.2024 №25</t>
  </si>
  <si>
    <t>РСД от 16.09.2024 №41</t>
  </si>
  <si>
    <t>исполнение на 01.10.2024</t>
  </si>
  <si>
    <t>РСД от 25.12.2024 №59</t>
  </si>
  <si>
    <t>в тыс от №27</t>
  </si>
  <si>
    <t>в % к РСД №27</t>
  </si>
  <si>
    <t>Оценка за 2024 год</t>
  </si>
  <si>
    <t>исполнение за 2024 год</t>
  </si>
  <si>
    <t>начисление за 2024 год</t>
  </si>
  <si>
    <t>в % к РСД №59</t>
  </si>
  <si>
    <t>в % к 2023 году</t>
  </si>
  <si>
    <t>РСД от 25.12.24 №60</t>
  </si>
  <si>
    <t>Проект 01.25</t>
  </si>
  <si>
    <t>тыс. рубю</t>
  </si>
  <si>
    <t>%</t>
  </si>
  <si>
    <t>Утвержденные назначения</t>
  </si>
  <si>
    <t xml:space="preserve"> Уточненные назначения</t>
  </si>
  <si>
    <t>Утвержденные назначения на 2020 год</t>
  </si>
  <si>
    <t>Утвержденные назначения на 2021 год</t>
  </si>
  <si>
    <t>Утвержденные назначения на 2022 год</t>
  </si>
  <si>
    <t>Уточненные назначения на 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</si>
  <si>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</si>
  <si>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</si>
  <si>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</si>
  <si>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</si>
  <si>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</si>
  <si>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</si>
  <si>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</si>
  <si>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000 1 00 00000 00 0000 000</t>
  </si>
  <si>
    <t xml:space="preserve">НАЛОГОВЫЕ И НЕНАЛОГОВЫЕ ДОХОДЫ </t>
  </si>
  <si>
    <t>Налоговые доходы</t>
  </si>
  <si>
    <t>удельный вес в общем объеме доходов, %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</si>
  <si>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</si>
  <si>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</si>
  <si>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</si>
  <si>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</si>
  <si>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</si>
  <si>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</si>
  <si>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</si>
  <si>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</si>
  <si>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</si>
  <si>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</si>
  <si>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</si>
  <si>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</si>
  <si>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182 1 01 02140 01 0000 110</t>
  </si>
  <si>
    <t>000 103 00000 00 0000 000</t>
  </si>
  <si>
    <t>Налоги на товары (работы, услуги), реализуемые на территории РФ</t>
  </si>
  <si>
    <t>000 103 02230 01 0000 110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</si>
  <si>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</si>
  <si>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</si>
  <si>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</si>
  <si>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</si>
  <si>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</si>
  <si>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</si>
  <si>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</si>
  <si>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000 1 05 00000 00 0000 000</t>
  </si>
  <si>
    <t>НАЛОГИ НА СОВОКУПНЫЙ ДОХОД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</si>
  <si>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</si>
  <si>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</si>
  <si>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</si>
  <si>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</si>
  <si>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</si>
  <si>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</si>
  <si>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списано</t>
  </si>
  <si>
    <t>182 1 06 04000 02 0000 110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</si>
  <si>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</si>
  <si>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</si>
  <si>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</si>
  <si>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</si>
  <si>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</si>
  <si>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</si>
  <si>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</si>
  <si>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</si>
  <si>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</si>
  <si>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списано 173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</si>
  <si>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</si>
  <si>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</si>
  <si>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</si>
  <si>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</si>
  <si>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</si>
  <si>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</t>
  </si>
  <si>
    <t>650 1 08 07175 01 0000 110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</si>
  <si>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</si>
  <si>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</si>
  <si>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</si>
  <si>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</si>
  <si>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</si>
  <si>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</si>
  <si>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650 1 11 05035 10 0000 120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</si>
  <si>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им-ва б и а у)</t>
  </si>
  <si>
    <t>000 1 11 05075 10 0000 120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</si>
  <si>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</si>
  <si>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 xml:space="preserve">000 1 11 05325 10 0000 120
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</si>
  <si>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</si>
  <si>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650 1 11 09045 10 0000 120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</si>
  <si>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</si>
  <si>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11109…/172</t>
  </si>
  <si>
    <t>учр</t>
  </si>
  <si>
    <t>000 1 13  00000 00 0000 000</t>
  </si>
  <si>
    <t>ДОХОДЫ ОТ ОКАЗАНИЯ ПЛАТНЫХ УСЛУГ (РАБОТ) И КОМПЕНСАЦИИ ЗАТРАТ ГОСУДАРСТВА</t>
  </si>
  <si>
    <t>650 1 13 01995 10 0000 130</t>
  </si>
  <si>
    <t>Прочие доходы от оказания платных услуг (работ) получателями средств бюджетов сельских поселений</t>
  </si>
  <si>
    <t>650 1 13 02995 10 0000 130/134</t>
  </si>
  <si>
    <t>Прочие доходы от компенсации затрат бюджетов сельских  поселений</t>
  </si>
  <si>
    <t>650 1 13 02995 10 0000 130/135</t>
  </si>
  <si>
    <t>усл ар платежи</t>
  </si>
  <si>
    <t>000 1 14 00000 00 0000 000</t>
  </si>
  <si>
    <t>ДОХОДЫ ОТ ПРОДАЖИ МАТЕРИАЛЬНЫХ И НЕМАТЕРИАЛЬНЫХ АКТИВОВ</t>
  </si>
  <si>
    <t xml:space="preserve"> 650 1 14 02053 10 0000 410</t>
  </si>
  <si>
    <t>Доходы от реализации иного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</si>
  <si>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650 1 14 02053 10 0000 440</t>
  </si>
  <si>
    <t>Доходы от реализации иного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</si>
  <si>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>650 1 14 06025 10 0000 430</t>
  </si>
  <si>
    <t>Доходы от продажи земельных участков, находящихся в собственности сельских поселений (за исключением земельных участков, находящихся в собственности муниципальных бюджетных и автономных учреждений)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</si>
  <si>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</si>
  <si>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</t>
  </si>
  <si>
    <t>000 1 16 00000 00 0000 000</t>
  </si>
  <si>
    <t>ШТРАФЫ, САНКЦИИ, ВОЗМЕЩЕНИЕ УЩЕРБА</t>
  </si>
  <si>
    <t>650 1 16 23051 10 0000 140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</si>
  <si>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 </t>
  </si>
  <si>
    <t>650 1 16 23052 10 0000 140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</si>
  <si>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 </t>
  </si>
  <si>
    <t>000 1 16 10123 01 0000 140/145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</si>
  <si>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</si>
  <si>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000 1 16 07010 10 0000 140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</si>
  <si>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</si>
  <si>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1 1 16 07010 10 0000 140/174
</t>
  </si>
  <si>
    <t>выпадающие доходы</t>
  </si>
  <si>
    <t>188 1 16 30015 01 0000 140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</si>
  <si>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сельских поселений</t>
  </si>
  <si>
    <t>000 1 16 10123 01 0101 140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</si>
  <si>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</si>
  <si>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</si>
  <si>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</si>
  <si>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650 1 17 00000 00 0000 000 </t>
  </si>
  <si>
    <t>Прочие неналоговые доходы</t>
  </si>
  <si>
    <t>000 1 17 01050 10 0000 180</t>
  </si>
  <si>
    <t>Невыясненные поступления, зачисляемые в бюджеты сельских поселений</t>
  </si>
  <si>
    <t>000 1 17 15030 10 0000 150/155</t>
  </si>
  <si>
    <t>Инициативные платежи, зачисляемые в бюджеты сельских поселений</t>
  </si>
  <si>
    <t>117/199</t>
  </si>
  <si>
    <t>000 2 00 00000 00 0000 000</t>
  </si>
  <si>
    <t>БЕЗВОЗМЕЗДНЫЕ ПОСТУПЛЕНИЯ</t>
  </si>
  <si>
    <t>000 2 02 00000 00 0000 000</t>
  </si>
  <si>
    <t>Безвозмездные  поступления от других  бюджетов бюджетной системы РФ</t>
  </si>
  <si>
    <t>Безвозмездные  поступления от других  бюджетов бюджетной системы РФ без учета дотаций</t>
  </si>
  <si>
    <t>000 2 02 10000 00 0000 150</t>
  </si>
  <si>
    <t>Дотации бюджетам бюджетной системы Российской Федерации</t>
  </si>
  <si>
    <t>650 2 02 15001 10 0000 150</t>
  </si>
  <si>
    <t xml:space="preserve">Дотации бюджетам сельских поселений на выравнивание бюджетной обеспеченности из бюджета субъекта РФ </t>
  </si>
  <si>
    <t>650 2 02 15002 10 0000 150</t>
  </si>
  <si>
    <t>Дотации бюджетам сельских поселений на поддержку мер по обеспечению сбалансированности бюджетов</t>
  </si>
  <si>
    <t>000 2 02 20000 00 0000 150</t>
  </si>
  <si>
    <t>Субсидии бюджетам бюджетной системы Российской Федерации (межбюджетные субсидии)</t>
  </si>
  <si>
    <t>650 2 02 20041 10 0000 150</t>
  </si>
  <si>
    <t>Субсидии бюджетам  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</si>
  <si>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650 2 02 02109 10 0000 151</t>
  </si>
  <si>
    <t>Субсидии бюджетам поселений на проведение капитального ремонта многоквартирных домов</t>
  </si>
  <si>
    <t>650 2 02 02150 10 0000 151</t>
  </si>
  <si>
    <t xml:space="preserve">Субсидии бюджетам поселений на реализацию программы энергосбережения и повышения энергетической эффективности на период до 2020 года </t>
  </si>
  <si>
    <t>650 2 02 29999 10 0000 150</t>
  </si>
  <si>
    <t>Прочие субсидии бюджетам сельских поселений</t>
  </si>
  <si>
    <t>ЖКК и ГС в МООР</t>
  </si>
  <si>
    <t>профилактика правонарушений</t>
  </si>
  <si>
    <t>Наш дом на 2011-2015 годы</t>
  </si>
  <si>
    <t>Культура Югры на 2009-2013</t>
  </si>
  <si>
    <t xml:space="preserve">энергосбережение </t>
  </si>
  <si>
    <t>наш дом (дорожн.фонд)</t>
  </si>
  <si>
    <t>инициативн пр МП Развитие гражданского общества в МООР</t>
  </si>
  <si>
    <t>000 2 02 30000 00 0000 150</t>
  </si>
  <si>
    <t>Субвенции бюджетам бюджетной системы Российской Федерации</t>
  </si>
  <si>
    <t>650 2 02 30024 10 0000 150</t>
  </si>
  <si>
    <t>Субвенции бюджетам сельских поселений на выполнение передаваемых полномочий субъектов РФ</t>
  </si>
  <si>
    <t>650 2 02 35930 10 0000 150</t>
  </si>
  <si>
    <t>Субвенции бюджетам сельских поселений на государственную регистрацию актов гражданского состояния</t>
  </si>
  <si>
    <t>650 2 02 35118 10 0000 150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</si>
  <si>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</si>
  <si>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000 2 02 40000 0000 150</t>
  </si>
  <si>
    <t>Иные межбюджетные трансферты</t>
  </si>
  <si>
    <t xml:space="preserve">650
2 02 45160 10 0000 150
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</si>
  <si>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</si>
  <si>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000 2 02 04029 10 0000150</t>
  </si>
  <si>
    <t xml:space="preserve">Межбюджетные трансферты, передаваемые бюджетам сельских поселений на реализацию дополнительных мероприятий,направленных на снижение напряженности на рынке труда </t>
  </si>
  <si>
    <t xml:space="preserve">650
2 02 49999 10 0000 150
</t>
  </si>
  <si>
    <t>Прочие межбюджетные трансферты, передаваемые бюджетам сельских поселений</t>
  </si>
  <si>
    <t xml:space="preserve">Современная транспортная система </t>
  </si>
  <si>
    <t xml:space="preserve">Содействие занятости населения </t>
  </si>
  <si>
    <t>Развитие физической культуры и спорта на территории ОР</t>
  </si>
  <si>
    <r>
      <t>МП "</t>
    </r>
    <r>
      <rPr>
        <b/>
        <sz val="10"/>
        <rFont val="Times New Roman"/>
        <family val="1"/>
        <charset val="204"/>
      </rPr>
      <t>Развитие культуры и туризма в МООР</t>
    </r>
    <r>
      <rPr>
        <sz val="10"/>
        <rFont val="Times New Roman"/>
        <family val="1"/>
        <charset val="204"/>
      </rPr>
      <t xml:space="preserve">" </t>
    </r>
  </si>
  <si>
    <t>МП "ЖКК в МООР"</t>
  </si>
  <si>
    <t>МП Пространственное развитие и ФКГС в МООР"</t>
  </si>
  <si>
    <t>Безопасность жизнедеятельности в  МООР</t>
  </si>
  <si>
    <t>наказы избирателей</t>
  </si>
  <si>
    <t>профилактика экстремизма</t>
  </si>
  <si>
    <t>профилактика терроризма</t>
  </si>
  <si>
    <t>Экологическая безопасность в МООР</t>
  </si>
  <si>
    <t>Доступная среда в МООР</t>
  </si>
  <si>
    <t>мобилизация</t>
  </si>
  <si>
    <t xml:space="preserve">содействие местному самоуправлению в развитии культурно-исторических традиций </t>
  </si>
  <si>
    <t>на повыш оплаты труда работников МУ культуры в целях реализации указов Президента РФ</t>
  </si>
  <si>
    <t>Развитие гражданского общества в МООР (иниц бюдж)</t>
  </si>
  <si>
    <t>МП "Развитие АПК в МООР"</t>
  </si>
  <si>
    <t>Устойчивое развитие КМНС в МООР</t>
  </si>
  <si>
    <t>МП "Управление муниципальной собственностью в МООР"</t>
  </si>
  <si>
    <t>Развитие образования</t>
  </si>
  <si>
    <t>МП «Управление муниципальными финансами в Октябрьском районе» стимулир</t>
  </si>
  <si>
    <t>на поддержку мер по обеспечению сбалансированности бюджетов</t>
  </si>
  <si>
    <t>000 202 90024 10 0000 150</t>
  </si>
  <si>
    <t>Прочие безвозмездные поступления в бюджеты сельских поселений от бюджетов субъектов Российской Федерации</t>
  </si>
  <si>
    <t>000 2 07 00000 10 0000 150</t>
  </si>
  <si>
    <t>ПРОЧИЕ БЕЗВОЗМЕЗДНЫЕ ПОСТУПЛЕНИЯ</t>
  </si>
  <si>
    <t>650 2 07 05000 10 0000 150/155</t>
  </si>
  <si>
    <t>Прочие безвозмездные поступления в бюджеты сельских поселений</t>
  </si>
  <si>
    <t>000 2 07 10100 10 0000 196/195</t>
  </si>
  <si>
    <t xml:space="preserve">Безвозмездные межбюджетные неденежные поступления в бюджеты сельских поселений
/ капитального характера от сектора государственного управления и организаций государственного сектора
</t>
  </si>
  <si>
    <t>000 2 07 10100 10 0000 196/191</t>
  </si>
  <si>
    <t xml:space="preserve">Безвозмездные межбюджетные неденежные поступления в бюджеты сельских поселений/ текущего характера от сектора государственного управления и организаций государственного сектора
</t>
  </si>
  <si>
    <t>000 2 07 10100 10 0000 199/199</t>
  </si>
  <si>
    <t xml:space="preserve">Прочие безвозмездные неденежные поступления в бюджеты сельских поселений
/Прочие неденежные безвозмездные поступления
</t>
  </si>
  <si>
    <t>650 2 19 05000 10 0000 150</t>
  </si>
  <si>
    <t>Возврат остатков субсидий, субвенций и иных межбюджетных трансфертов, имеющих целевое значение, прошлых лет из бюджетов сельских поселений</t>
  </si>
  <si>
    <t>ВСЕГО ДОХОДОВ</t>
  </si>
  <si>
    <t>Приложение №2</t>
  </si>
  <si>
    <t xml:space="preserve">Анализ расходов  бюджета поселения Перегребное по разделам и подразделам классификации расходов бюджета </t>
  </si>
  <si>
    <t>Наименование</t>
  </si>
  <si>
    <t>Рз</t>
  </si>
  <si>
    <t>ПР</t>
  </si>
  <si>
    <t xml:space="preserve">Исполнение бюджета за 2011 год </t>
  </si>
  <si>
    <t>Исполнение бюджета за 2012 год</t>
  </si>
  <si>
    <t>Исполнение за 2013 год</t>
  </si>
  <si>
    <t>Исполнение за 2014 год</t>
  </si>
  <si>
    <t>Исполнение за 2015 год</t>
  </si>
  <si>
    <t>Исполнение за 2016 год</t>
  </si>
  <si>
    <t>Исполнение за 2017 год</t>
  </si>
  <si>
    <t xml:space="preserve">Исполнение за 2018 год </t>
  </si>
  <si>
    <t>Исполнение за 2019 год</t>
  </si>
  <si>
    <t>Исполнение за 2020 год</t>
  </si>
  <si>
    <t>Исполнение за 2021 год</t>
  </si>
  <si>
    <t>Исполнение за 2022 год</t>
  </si>
  <si>
    <t>Исполнение за 2023 год</t>
  </si>
  <si>
    <t>РСД от 26.12.23 №27, на 2024 год</t>
  </si>
  <si>
    <t>РСД от 01.03.24 №11</t>
  </si>
  <si>
    <t>Исполнение за 1 кв. 24 г.</t>
  </si>
  <si>
    <t>РСД от 17.05.24 №25, на 2024 год</t>
  </si>
  <si>
    <t>РСД от 16.09.24 №41, на 2024 год</t>
  </si>
  <si>
    <t>Исполнение за 9 мес 024 год</t>
  </si>
  <si>
    <t>Оценка 2024 год</t>
  </si>
  <si>
    <t>РСД от 25.12.24 №59</t>
  </si>
  <si>
    <t>Бюджетная роспись</t>
  </si>
  <si>
    <t>Исполнение</t>
  </si>
  <si>
    <t>Отклонение бюджетной росписи от РСД №59, тыс. руб.</t>
  </si>
  <si>
    <t>Отклонение бюджетной росписи от РСД №59,%</t>
  </si>
  <si>
    <t>Отклонение бюджетной росписи от исполнения</t>
  </si>
  <si>
    <t>% исполнения от бюджетной росписи</t>
  </si>
  <si>
    <t>% исполнения от РСД №27</t>
  </si>
  <si>
    <t>% исполнения от РСД №59</t>
  </si>
  <si>
    <t>% исполнения от уровня 2023 года</t>
  </si>
  <si>
    <t>Отклонение РСД №59 от РСД №27, тыс. руб.</t>
  </si>
  <si>
    <t>Отклонение РСД №59 от РСД №27, %</t>
  </si>
  <si>
    <t>Удельный вес, %</t>
  </si>
  <si>
    <t>РСД от 25.12.24 №60,  на 2025  год</t>
  </si>
  <si>
    <t>Отклонение Проекта от РСД №601, тыс. руб.</t>
  </si>
  <si>
    <t>Отклонение Проекта от РСД №360,%</t>
  </si>
  <si>
    <t>удельный вес, %</t>
  </si>
  <si>
    <t>РСД от 25.12.24 №60,  на 2026  год</t>
  </si>
  <si>
    <t>РСД от 25.12.24 №60,  на 2027  год</t>
  </si>
  <si>
    <t>РСД от 26.12.23 №27, на 2025 год</t>
  </si>
  <si>
    <t>РСД от 26.12.23 №27, на 2026 год</t>
  </si>
  <si>
    <t>Общегосударственные вопросы</t>
  </si>
  <si>
    <t>01</t>
  </si>
  <si>
    <t>03</t>
  </si>
  <si>
    <t>10</t>
  </si>
  <si>
    <t>32</t>
  </si>
  <si>
    <t>50</t>
  </si>
  <si>
    <t>Функционирование высшего должностного лица муниципального образования</t>
  </si>
  <si>
    <t>02</t>
  </si>
  <si>
    <t>3322,89</t>
  </si>
  <si>
    <t>Функционирование местных администраций</t>
  </si>
  <si>
    <t>04</t>
  </si>
  <si>
    <t>6503,527</t>
  </si>
  <si>
    <t>Обеспечение деятельности финансовых, налоговых и таможенных органов и органов ифнансового (финансово - бюджетного) надзора</t>
  </si>
  <si>
    <t>06</t>
  </si>
  <si>
    <t>Обеспечение проведения выборов и референдумов</t>
  </si>
  <si>
    <t>07</t>
  </si>
  <si>
    <t>0</t>
  </si>
  <si>
    <t>Резервные фонды</t>
  </si>
  <si>
    <t>11</t>
  </si>
  <si>
    <t>Другие общегосударственные вопросы</t>
  </si>
  <si>
    <t>13</t>
  </si>
  <si>
    <t>2003,602</t>
  </si>
  <si>
    <t>Национальная оборона</t>
  </si>
  <si>
    <t>Мобилизационная  и вневойсковая подготовка</t>
  </si>
  <si>
    <t>356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</si>
  <si>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</si>
  <si>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</si>
  <si>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</si>
  <si>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</si>
  <si>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194,186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</si>
  <si>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</si>
  <si>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</si>
  <si>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</si>
  <si>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</si>
  <si>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</si>
  <si>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1135,431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</si>
  <si>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</si>
  <si>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</si>
  <si>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</si>
  <si>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</si>
  <si>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</si>
  <si>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Связь и информатика</t>
  </si>
  <si>
    <t>242,937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</si>
  <si>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</si>
  <si>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</si>
  <si>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</si>
  <si>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</si>
  <si>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3686,296</t>
  </si>
  <si>
    <t>Коммунальное  хозяйство</t>
  </si>
  <si>
    <t>390,11</t>
  </si>
  <si>
    <t>Благоустройство</t>
  </si>
  <si>
    <t>9518,917</t>
  </si>
  <si>
    <t>Охрана окружающей среды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</si>
  <si>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</si>
  <si>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</si>
  <si>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</si>
  <si>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</si>
  <si>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 xml:space="preserve">Культура, кинематография </t>
  </si>
  <si>
    <t xml:space="preserve">Культура </t>
  </si>
  <si>
    <t>5841,781</t>
  </si>
  <si>
    <t>Кинематография</t>
  </si>
  <si>
    <t>120,037</t>
  </si>
  <si>
    <t>Другие вопросы в области социальной политики</t>
  </si>
  <si>
    <t>Здравоохранение</t>
  </si>
  <si>
    <t>Санитарно - эпидемиологическое благополучие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</si>
  <si>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</si>
  <si>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</si>
  <si>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</si>
  <si>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</si>
  <si>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34,376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</si>
  <si>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</si>
  <si>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</si>
  <si>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Прочие межбюджетные трансферты общего характера</t>
  </si>
  <si>
    <t>ВСЕГО</t>
  </si>
  <si>
    <t>Приложение №3</t>
  </si>
  <si>
    <t>Ведомственная  структура  расходов бюджета  сельского поселения Перегребное   за 2024  год</t>
  </si>
  <si>
    <t>Пр</t>
  </si>
  <si>
    <t>ЦСР</t>
  </si>
  <si>
    <t>ВР</t>
  </si>
  <si>
    <t>КОСГУ</t>
  </si>
  <si>
    <t>РСД № 27 от 26.12.23, на 2024 год</t>
  </si>
  <si>
    <t>Функционирование высшего должностного лица муниципального  образования</t>
  </si>
  <si>
    <t>Непрограммные направления деятельности</t>
  </si>
  <si>
    <t>4000000000</t>
  </si>
  <si>
    <t>Непрограммные направления деятельности "Обеспечение деятельности муниципальных органов власти"</t>
  </si>
  <si>
    <t>4010000000</t>
  </si>
  <si>
    <t>Глава  муниципального  образования</t>
  </si>
  <si>
    <t>4010002030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</si>
  <si>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</si>
  <si>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</si>
  <si>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</si>
  <si>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</si>
  <si>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</si>
  <si>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211</t>
  </si>
  <si>
    <t>122</t>
  </si>
  <si>
    <t>212</t>
  </si>
  <si>
    <t>214</t>
  </si>
  <si>
    <t>226</t>
  </si>
  <si>
    <t>129</t>
  </si>
  <si>
    <t>213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</si>
  <si>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</si>
  <si>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</si>
  <si>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</si>
  <si>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</si>
  <si>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343</t>
  </si>
  <si>
    <t>Заместители главы  муниципального  образования</t>
  </si>
  <si>
    <t>4010002060</t>
  </si>
  <si>
    <t>266</t>
  </si>
  <si>
    <t>267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</si>
  <si>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</si>
  <si>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</si>
  <si>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</si>
  <si>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321</t>
  </si>
  <si>
    <t>264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</si>
  <si>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округа-Югры</t>
  </si>
  <si>
    <t>4010085150</t>
  </si>
  <si>
    <t>Функционирование  местных администраций</t>
  </si>
  <si>
    <t>Расходы на обеспечение функций  органов местного самоуправления</t>
  </si>
  <si>
    <t>4010002040</t>
  </si>
  <si>
    <t>240</t>
  </si>
  <si>
    <t>221</t>
  </si>
  <si>
    <t>225</t>
  </si>
  <si>
    <t>227</t>
  </si>
  <si>
    <t>310</t>
  </si>
  <si>
    <t>346</t>
  </si>
  <si>
    <t>Иные бюджетные ассигнования</t>
  </si>
  <si>
    <t>800</t>
  </si>
  <si>
    <t>Исполнение судебных актов</t>
  </si>
  <si>
    <t>831</t>
  </si>
  <si>
    <t>296</t>
  </si>
  <si>
    <t xml:space="preserve">Уплата налогов, сборов и иных платежей </t>
  </si>
  <si>
    <t>853</t>
  </si>
  <si>
    <t>292</t>
  </si>
  <si>
    <t>Прочие мероприятия  муниципальных  органов в рамках непрограммного  направления деятельности "Обеспечение деятельности муниципальных органов власти"</t>
  </si>
  <si>
    <t>4010002400</t>
  </si>
  <si>
    <t>Обеспечение деятельности финансовых, налоговых и таможенных органов и органов финансового (финансово-бюджетного)надзора</t>
  </si>
  <si>
    <t>Межбюджетные трансферты</t>
  </si>
  <si>
    <t>Межбюджетные трансферты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 субъектов Российской Федерации, переданных для осуществления органам местного самоуправления в установленном порядке</t>
  </si>
  <si>
    <t>Расходы из бюджетов городских и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</si>
  <si>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 xml:space="preserve">Межбюджетные трансферты </t>
  </si>
  <si>
    <t xml:space="preserve">Иные межбюджетные трансферты </t>
  </si>
  <si>
    <t>Непрограммное направление деятельности "исполнение отдельных расходных обязательств сельского поселения Перегребное"</t>
  </si>
  <si>
    <t>4080000000</t>
  </si>
  <si>
    <t>Резервный фонд администрации сельского поселения Перегребное</t>
  </si>
  <si>
    <t>Иные  бюджетные  ассигнования</t>
  </si>
  <si>
    <t>Резервные средства</t>
  </si>
  <si>
    <t>870</t>
  </si>
  <si>
    <t/>
  </si>
  <si>
    <t>852</t>
  </si>
  <si>
    <t>291</t>
  </si>
  <si>
    <t>Расходы на проведение работ по технической паспортизации муниципального имущества</t>
  </si>
  <si>
    <t>Модернизация систем видеонаблюдения мест массового пребывания людей, обеспечивающей информационное взаимодействие с региональной подсистемой видеонаблюдения сегмента аппаратно-программного комплекса "Безопасный город"</t>
  </si>
  <si>
    <t xml:space="preserve">Реализация мероприятий  </t>
  </si>
  <si>
    <t xml:space="preserve">Социальное обеспечение и иные выплаты населению </t>
  </si>
  <si>
    <t>Иные выплаты населению</t>
  </si>
  <si>
    <t>360</t>
  </si>
  <si>
    <t>830</t>
  </si>
  <si>
    <t>297</t>
  </si>
  <si>
    <t>Непрограммные направления деятельности "Мероприятия в области культуры  и кинематографии"</t>
  </si>
  <si>
    <t>Расходы на укрепление общероссийской гражданской индентичности. Торжественные мероприятия, приуроченные к памятным датам в истории народов России, государственным праздникам</t>
  </si>
  <si>
    <t>Непрограммные направления деятельности "Расходы за счет средств федерального бюджета, не отнесенные к государственным программам"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</si>
  <si>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</si>
  <si>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переданных полномочий Российской Федерации на государственную регистрацию актов гражданского состояния</t>
  </si>
  <si>
    <t>4010059300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</si>
  <si>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округа-Югры</t>
  </si>
  <si>
    <t>40100D9300</t>
  </si>
  <si>
    <t>Непрограммное направление деятельности "Мероприятия по защите населения и территории от чрезвычайных ситуаций природного и техногенного характера, гражданская оборона"</t>
  </si>
  <si>
    <t>4020000000</t>
  </si>
  <si>
    <t>Расходы на противопожарные разрывы</t>
  </si>
  <si>
    <t>4020089143</t>
  </si>
  <si>
    <t>Обеспечение первичных мер пожарной безопасности</t>
  </si>
  <si>
    <t>4020089147</t>
  </si>
  <si>
    <t>342</t>
  </si>
  <si>
    <t>Реализация мероприятий</t>
  </si>
  <si>
    <t>4020099990</t>
  </si>
  <si>
    <t>222</t>
  </si>
  <si>
    <t>247</t>
  </si>
  <si>
    <t>223</t>
  </si>
  <si>
    <t>850</t>
  </si>
  <si>
    <t>295</t>
  </si>
  <si>
    <t>Муниципальная программа  «Профилактика правонарушений и обеспечение отдельных прав граждан в муниципальном образовании сельское поселение Перегребное»</t>
  </si>
  <si>
    <t>0200000000</t>
  </si>
  <si>
    <t>Основное мероприятие «Профилактика  правонарушений в сфере общественного порядка»</t>
  </si>
  <si>
    <t>0200100000</t>
  </si>
  <si>
    <t>Расходы на создание условий для деятельности  народных дружин</t>
  </si>
  <si>
    <t>0200182300</t>
  </si>
  <si>
    <t>123</t>
  </si>
  <si>
    <t>02001S2300</t>
  </si>
  <si>
    <t>Непрограммные направления деятельности "Мероприятия в области национальной экономики"</t>
  </si>
  <si>
    <t xml:space="preserve">Расходы на реализацию мероприятий по содействию трудоустройству граждан 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</si>
  <si>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</si>
  <si>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</si>
  <si>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Расходы на организацию мероприятий при осуществлении деятельности по обращению с животными без владельцев (бюджет района)</t>
  </si>
  <si>
    <t>4030000000</t>
  </si>
  <si>
    <t>Расходы на приведение автомобильных дорог местного значения в нормативное состояние (Средства дорожного фонда ХМАО-Югры)</t>
  </si>
  <si>
    <t>4030083000</t>
  </si>
  <si>
    <t>Доля софинансирования на приведение автомобильных дорог местного значения в нормативное состояние (местный бюджет)</t>
  </si>
  <si>
    <t>40300S3000</t>
  </si>
  <si>
    <t>Расходы на капитальный ремонт и ремонт автомобильных дорог общего пользования местного значения</t>
  </si>
  <si>
    <t xml:space="preserve">Реализация мероприятий </t>
  </si>
  <si>
    <t>Жилищное  хозяйство</t>
  </si>
  <si>
    <t>Муниципальная программа "Благоустройство населенных пунктов в сельском поселении Перегребное"</t>
  </si>
  <si>
    <t>0100000000</t>
  </si>
  <si>
    <t xml:space="preserve">Основное мероприятие "Реализация мероприятий по благоустройству территорий и комфортному проживанию населения сельского поселения Перегребное" </t>
  </si>
  <si>
    <t>0100100000</t>
  </si>
  <si>
    <t>Расходы на снос объектов признанных аварийными</t>
  </si>
  <si>
    <t>0100189108</t>
  </si>
  <si>
    <t>Расходы на обследование технического состояния объектов с целью признания их аварийными</t>
  </si>
  <si>
    <t>Непрограммные направления деятельности "Мероприятия в области жилищно-коммунального хозяйства"</t>
  </si>
  <si>
    <t>Расходы на капитальный ремонт и ремонт муниципального жилого фонда</t>
  </si>
  <si>
    <t>243</t>
  </si>
  <si>
    <t>4060099990</t>
  </si>
  <si>
    <t>Коммунальное хозяйство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</si>
  <si>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</si>
  <si>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формирование резервов  материальных ресурсов ( запасов) для предупреждения, ликвидации чрезвычайных ситуаций</t>
  </si>
  <si>
    <t>Расходы на реализацию полномочий в сфере жилищно-коммунального комплекса (подготовка осенне-зимнему периоду)</t>
  </si>
  <si>
    <t>Предоставление субсидий организациям</t>
  </si>
  <si>
    <t xml:space="preserve">Благоустройство </t>
  </si>
  <si>
    <t>0100199990</t>
  </si>
  <si>
    <t>0100189130</t>
  </si>
  <si>
    <t>Муниципальная программа "Инициативные проекты сельского поселения Перегребное на 2023-2025годы"</t>
  </si>
  <si>
    <t>0300000000</t>
  </si>
  <si>
    <t>Основное мероприятие "Реализация социально значимых инициативных проектов на территории сельского поселения Перегребное"</t>
  </si>
  <si>
    <t>0300100000</t>
  </si>
  <si>
    <t>Расходы на реализацию инициативного проекта «Обустройство центральной площади с.Перегребное» (местный бюджет)</t>
  </si>
  <si>
    <t>0300110010</t>
  </si>
  <si>
    <t>Расходы на реализацию инициативного проекта «Обустройство центральной площади с.Перегребное» (инициативные платежи граждан)</t>
  </si>
  <si>
    <t>0300120010</t>
  </si>
  <si>
    <t>Расходы на ликвидацию мест несанкционированного размещения отходов</t>
  </si>
  <si>
    <t>0100189062</t>
  </si>
  <si>
    <t>Культура</t>
  </si>
  <si>
    <t>4070000000</t>
  </si>
  <si>
    <t>Расходы на обеспечение деятельности (оказание услуг) муниципальных учреждений</t>
  </si>
  <si>
    <t>4070000590</t>
  </si>
  <si>
    <t>Предоставление субсидий бюджетным , автономным учреждениям и иным некоммерческим организациям</t>
  </si>
  <si>
    <t>Мероприятия в сфере культуры и кинематографии</t>
  </si>
  <si>
    <t>4070020700</t>
  </si>
  <si>
    <t>Реализация наказов избирателей депутатам Думы Ханты-Мансийского автономного округа-Югры</t>
  </si>
  <si>
    <t>4070085160</t>
  </si>
  <si>
    <t>Другие вопросы в области культуры, кинематографии</t>
  </si>
  <si>
    <t>Расходы на организацию и проведение фестиваля</t>
  </si>
  <si>
    <t>4070089021</t>
  </si>
  <si>
    <t>Расходы на проведение организационных и культурно-просветительных мероприятий с ветеранами(пенсионерами) Октябрьского района</t>
  </si>
  <si>
    <t>4070089031</t>
  </si>
  <si>
    <t xml:space="preserve">Субсидии некоммерческим организациям (за исключением государственных(муниципальных)учреждений, государственных корпораций(компаний), публично-правовых компаний) 
</t>
  </si>
  <si>
    <t xml:space="preserve">Здравоохранение </t>
  </si>
  <si>
    <t>Санитарно-эпидемиологическое благополучие</t>
  </si>
  <si>
    <t>Расходы на обработку контейнерных площадок и контейнеров</t>
  </si>
  <si>
    <t>Пенсионное обеспечение за выслугу лет</t>
  </si>
  <si>
    <t>Публичные нормативные социальные выплаты гражданам</t>
  </si>
  <si>
    <t>Физическая культура  и  спорт</t>
  </si>
  <si>
    <t xml:space="preserve">Расходы на реализацию инициативного проекта «Благоустройство крытого хоккейного корта в с. Перегребное II этап» </t>
  </si>
  <si>
    <t>0300182752</t>
  </si>
  <si>
    <t>Расходы на реализацию инициативного проекта «Благоустройство крытого хоккейного корта в с. Перегребное II этап» (местный бюджет)</t>
  </si>
  <si>
    <t>03001S2752</t>
  </si>
  <si>
    <t>Расходы на реализацию инициативного проекта «Благоустройство крытого хоккейного корта в с. Перегребное II этап» (инициативные платежи граждан)</t>
  </si>
  <si>
    <t>0300192752</t>
  </si>
  <si>
    <t>Непрограммные направления деятельности "Мероприятия в области физической культуры и спорта"</t>
  </si>
  <si>
    <t xml:space="preserve">Мероприятия в сфере физической  культуры и спорта </t>
  </si>
  <si>
    <t>ИТОГО</t>
  </si>
</sst>
</file>

<file path=xl/styles.xml><?xml version="1.0" encoding="utf-8"?>
<styleSheet xmlns="http://schemas.openxmlformats.org/spreadsheetml/2006/main">
  <numFmts count="9">
    <numFmt numFmtId="164" formatCode="#,##0.0_р_."/>
    <numFmt numFmtId="165" formatCode="#,##0.0"/>
    <numFmt numFmtId="166" formatCode="0.0"/>
    <numFmt numFmtId="167" formatCode="00"/>
    <numFmt numFmtId="168" formatCode="0000000"/>
    <numFmt numFmtId="169" formatCode="000"/>
    <numFmt numFmtId="170" formatCode="0000000000"/>
    <numFmt numFmtId="171" formatCode="#,##0.0;[Red]\-#,##0.0;0.0"/>
    <numFmt numFmtId="172" formatCode="00;;&quot;&quot;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 Cyr"/>
      <family val="1"/>
      <charset val="204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9"/>
      <name val="Times New Roman"/>
      <family val="1"/>
      <charset val="204"/>
    </font>
    <font>
      <sz val="8"/>
      <name val="Times New Roman Cyr"/>
      <family val="1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sz val="7"/>
      <color rgb="FF2C2D2E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0" fontId="18" fillId="0" borderId="0"/>
    <xf numFmtId="0" fontId="1" fillId="0" borderId="0"/>
    <xf numFmtId="0" fontId="18" fillId="0" borderId="0"/>
    <xf numFmtId="0" fontId="2" fillId="0" borderId="0"/>
    <xf numFmtId="0" fontId="2" fillId="0" borderId="0"/>
    <xf numFmtId="0" fontId="21" fillId="0" borderId="0"/>
    <xf numFmtId="0" fontId="2" fillId="0" borderId="0"/>
    <xf numFmtId="9" fontId="13" fillId="0" borderId="0" applyFont="0" applyFill="0" applyBorder="0" applyAlignment="0" applyProtection="0"/>
    <xf numFmtId="0" fontId="18" fillId="0" borderId="0"/>
    <xf numFmtId="0" fontId="2" fillId="0" borderId="0"/>
    <xf numFmtId="0" fontId="2" fillId="0" borderId="0"/>
  </cellStyleXfs>
  <cellXfs count="271">
    <xf numFmtId="0" fontId="0" fillId="0" borderId="0" xfId="0"/>
    <xf numFmtId="0" fontId="0" fillId="0" borderId="0" xfId="0" applyFill="1"/>
    <xf numFmtId="0" fontId="3" fillId="0" borderId="0" xfId="1" applyFont="1" applyFill="1" applyAlignment="1" applyProtection="1">
      <protection hidden="1"/>
    </xf>
    <xf numFmtId="0" fontId="4" fillId="0" borderId="0" xfId="0" applyFont="1" applyFill="1"/>
    <xf numFmtId="0" fontId="5" fillId="0" borderId="0" xfId="0" applyFont="1" applyFill="1" applyAlignment="1">
      <alignment horizontal="center" vertical="center"/>
    </xf>
    <xf numFmtId="0" fontId="0" fillId="0" borderId="0" xfId="0" applyFill="1" applyAlignment="1"/>
    <xf numFmtId="0" fontId="6" fillId="0" borderId="0" xfId="0" applyFont="1" applyFill="1" applyAlignment="1"/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11" fillId="0" borderId="0" xfId="0" applyFont="1" applyFill="1" applyAlignment="1">
      <alignment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top" wrapText="1"/>
    </xf>
    <xf numFmtId="49" fontId="11" fillId="0" borderId="7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166" fontId="11" fillId="0" borderId="8" xfId="0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vertical="top" wrapText="1"/>
    </xf>
    <xf numFmtId="0" fontId="12" fillId="0" borderId="0" xfId="0" applyFont="1" applyFill="1"/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3" fillId="0" borderId="0" xfId="0" applyFont="1" applyFill="1"/>
    <xf numFmtId="165" fontId="0" fillId="0" borderId="0" xfId="0" applyNumberFormat="1" applyFill="1"/>
    <xf numFmtId="164" fontId="1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7" fillId="0" borderId="0" xfId="0" applyFont="1" applyFill="1" applyAlignment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8" fillId="2" borderId="0" xfId="2" applyFont="1" applyFill="1"/>
    <xf numFmtId="0" fontId="8" fillId="2" borderId="0" xfId="1" applyFont="1" applyFill="1" applyAlignment="1" applyProtection="1">
      <alignment horizontal="right"/>
      <protection hidden="1"/>
    </xf>
    <xf numFmtId="0" fontId="19" fillId="2" borderId="0" xfId="3" applyFont="1" applyFill="1"/>
    <xf numFmtId="0" fontId="19" fillId="2" borderId="0" xfId="3" applyFont="1" applyFill="1" applyAlignment="1">
      <alignment horizontal="center" vertical="center"/>
    </xf>
    <xf numFmtId="0" fontId="19" fillId="2" borderId="0" xfId="3" applyFont="1" applyFill="1" applyAlignment="1">
      <alignment horizontal="center"/>
    </xf>
    <xf numFmtId="0" fontId="8" fillId="2" borderId="0" xfId="3" applyFont="1" applyFill="1" applyAlignment="1">
      <alignment horizontal="center" vertical="center"/>
    </xf>
    <xf numFmtId="0" fontId="8" fillId="2" borderId="0" xfId="3" applyFont="1" applyFill="1"/>
    <xf numFmtId="0" fontId="19" fillId="3" borderId="0" xfId="3" applyFont="1" applyFill="1"/>
    <xf numFmtId="0" fontId="19" fillId="2" borderId="0" xfId="3" applyFont="1" applyFill="1" applyAlignment="1">
      <alignment vertical="top"/>
    </xf>
    <xf numFmtId="0" fontId="20" fillId="2" borderId="1" xfId="2" applyFont="1" applyFill="1" applyBorder="1" applyAlignment="1">
      <alignment horizontal="center" vertical="center" wrapText="1"/>
    </xf>
    <xf numFmtId="0" fontId="20" fillId="2" borderId="2" xfId="2" applyFont="1" applyFill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 vertical="center" wrapText="1"/>
    </xf>
    <xf numFmtId="0" fontId="20" fillId="2" borderId="1" xfId="4" applyFont="1" applyFill="1" applyBorder="1" applyAlignment="1">
      <alignment horizontal="center" vertical="center" wrapText="1"/>
    </xf>
    <xf numFmtId="166" fontId="20" fillId="2" borderId="2" xfId="5" applyNumberFormat="1" applyFont="1" applyFill="1" applyBorder="1" applyAlignment="1">
      <alignment horizontal="center" vertical="center" wrapText="1"/>
    </xf>
    <xf numFmtId="166" fontId="20" fillId="2" borderId="1" xfId="5" applyNumberFormat="1" applyFont="1" applyFill="1" applyBorder="1" applyAlignment="1">
      <alignment horizontal="center" vertical="center" wrapText="1"/>
    </xf>
    <xf numFmtId="0" fontId="20" fillId="2" borderId="1" xfId="5" applyNumberFormat="1" applyFont="1" applyFill="1" applyBorder="1" applyAlignment="1" applyProtection="1">
      <alignment horizontal="center" vertical="center" wrapText="1"/>
      <protection hidden="1"/>
    </xf>
    <xf numFmtId="0" fontId="20" fillId="2" borderId="1" xfId="6" applyNumberFormat="1" applyFont="1" applyFill="1" applyBorder="1" applyAlignment="1" applyProtection="1">
      <alignment horizontal="center" vertical="center" wrapText="1"/>
      <protection hidden="1"/>
    </xf>
    <xf numFmtId="2" fontId="20" fillId="2" borderId="1" xfId="5" applyNumberFormat="1" applyFont="1" applyFill="1" applyBorder="1" applyAlignment="1" applyProtection="1">
      <alignment horizontal="center" vertical="center" wrapText="1"/>
      <protection hidden="1"/>
    </xf>
    <xf numFmtId="0" fontId="20" fillId="2" borderId="1" xfId="7" applyFont="1" applyFill="1" applyBorder="1" applyAlignment="1" applyProtection="1">
      <alignment horizontal="center" vertical="center" wrapText="1"/>
      <protection hidden="1"/>
    </xf>
    <xf numFmtId="0" fontId="20" fillId="4" borderId="1" xfId="7" applyFont="1" applyFill="1" applyBorder="1" applyAlignment="1" applyProtection="1">
      <alignment horizontal="center" vertical="center" wrapText="1"/>
      <protection hidden="1"/>
    </xf>
    <xf numFmtId="0" fontId="20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20" fillId="3" borderId="1" xfId="6" applyNumberFormat="1" applyFont="1" applyFill="1" applyBorder="1" applyAlignment="1" applyProtection="1">
      <alignment horizontal="center" vertical="center" wrapText="1"/>
      <protection hidden="1"/>
    </xf>
    <xf numFmtId="0" fontId="22" fillId="2" borderId="0" xfId="3" applyFont="1" applyFill="1" applyAlignment="1">
      <alignment horizontal="center" vertical="center"/>
    </xf>
    <xf numFmtId="0" fontId="9" fillId="2" borderId="1" xfId="3" applyFont="1" applyFill="1" applyBorder="1" applyAlignment="1">
      <alignment horizontal="left" vertical="center" wrapText="1"/>
    </xf>
    <xf numFmtId="49" fontId="9" fillId="2" borderId="1" xfId="3" applyNumberFormat="1" applyFont="1" applyFill="1" applyBorder="1" applyAlignment="1">
      <alignment horizontal="center" vertical="center" wrapText="1"/>
    </xf>
    <xf numFmtId="166" fontId="9" fillId="2" borderId="1" xfId="3" applyNumberFormat="1" applyFont="1" applyFill="1" applyBorder="1" applyAlignment="1">
      <alignment horizontal="center" vertical="center" wrapText="1"/>
    </xf>
    <xf numFmtId="166" fontId="9" fillId="3" borderId="1" xfId="3" applyNumberFormat="1" applyFont="1" applyFill="1" applyBorder="1" applyAlignment="1">
      <alignment horizontal="center" vertical="center" wrapText="1"/>
    </xf>
    <xf numFmtId="0" fontId="23" fillId="2" borderId="0" xfId="3" applyFont="1" applyFill="1"/>
    <xf numFmtId="0" fontId="8" fillId="2" borderId="1" xfId="3" applyFont="1" applyFill="1" applyBorder="1" applyAlignment="1">
      <alignment horizontal="left"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164" fontId="8" fillId="2" borderId="1" xfId="3" applyNumberFormat="1" applyFont="1" applyFill="1" applyBorder="1" applyAlignment="1">
      <alignment horizontal="center" vertical="center" wrapText="1"/>
    </xf>
    <xf numFmtId="166" fontId="19" fillId="2" borderId="1" xfId="3" applyNumberFormat="1" applyFont="1" applyFill="1" applyBorder="1" applyAlignment="1">
      <alignment horizontal="center" vertical="center"/>
    </xf>
    <xf numFmtId="0" fontId="19" fillId="2" borderId="1" xfId="3" applyFont="1" applyFill="1" applyBorder="1" applyAlignment="1">
      <alignment horizontal="center" vertical="center"/>
    </xf>
    <xf numFmtId="166" fontId="8" fillId="2" borderId="1" xfId="3" applyNumberFormat="1" applyFont="1" applyFill="1" applyBorder="1" applyAlignment="1">
      <alignment horizontal="center" vertical="center"/>
    </xf>
    <xf numFmtId="166" fontId="8" fillId="2" borderId="1" xfId="3" applyNumberFormat="1" applyFont="1" applyFill="1" applyBorder="1" applyAlignment="1">
      <alignment horizontal="center" vertical="center" wrapText="1"/>
    </xf>
    <xf numFmtId="166" fontId="8" fillId="3" borderId="1" xfId="3" applyNumberFormat="1" applyFont="1" applyFill="1" applyBorder="1" applyAlignment="1">
      <alignment horizontal="center" vertical="center" wrapText="1"/>
    </xf>
    <xf numFmtId="164" fontId="9" fillId="2" borderId="1" xfId="3" applyNumberFormat="1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vertical="center"/>
    </xf>
    <xf numFmtId="0" fontId="19" fillId="2" borderId="1" xfId="3" applyFont="1" applyFill="1" applyBorder="1" applyAlignment="1">
      <alignment horizontal="left" vertical="center" wrapText="1"/>
    </xf>
    <xf numFmtId="164" fontId="19" fillId="2" borderId="1" xfId="3" applyNumberFormat="1" applyFont="1" applyFill="1" applyBorder="1" applyAlignment="1">
      <alignment horizontal="center" vertical="center"/>
    </xf>
    <xf numFmtId="166" fontId="9" fillId="2" borderId="1" xfId="3" applyNumberFormat="1" applyFont="1" applyFill="1" applyBorder="1" applyAlignment="1">
      <alignment horizontal="center" vertical="center"/>
    </xf>
    <xf numFmtId="0" fontId="8" fillId="2" borderId="1" xfId="5" applyNumberFormat="1" applyFont="1" applyFill="1" applyBorder="1" applyAlignment="1" applyProtection="1">
      <alignment horizontal="left" vertical="center" wrapText="1"/>
      <protection hidden="1"/>
    </xf>
    <xf numFmtId="0" fontId="9" fillId="2" borderId="1" xfId="8" applyNumberFormat="1" applyFont="1" applyFill="1" applyBorder="1" applyAlignment="1" applyProtection="1">
      <alignment vertical="center" wrapText="1"/>
      <protection hidden="1"/>
    </xf>
    <xf numFmtId="167" fontId="9" fillId="2" borderId="1" xfId="8" applyNumberFormat="1" applyFont="1" applyFill="1" applyBorder="1" applyAlignment="1" applyProtection="1">
      <alignment horizontal="center" vertical="center"/>
      <protection hidden="1"/>
    </xf>
    <xf numFmtId="164" fontId="23" fillId="2" borderId="1" xfId="3" applyNumberFormat="1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166" fontId="23" fillId="2" borderId="1" xfId="3" applyNumberFormat="1" applyFont="1" applyFill="1" applyBorder="1" applyAlignment="1">
      <alignment horizontal="center" vertical="center"/>
    </xf>
    <xf numFmtId="0" fontId="8" fillId="2" borderId="1" xfId="8" applyNumberFormat="1" applyFont="1" applyFill="1" applyBorder="1" applyAlignment="1" applyProtection="1">
      <alignment vertical="center" wrapText="1"/>
      <protection hidden="1"/>
    </xf>
    <xf numFmtId="167" fontId="8" fillId="2" borderId="1" xfId="8" applyNumberFormat="1" applyFont="1" applyFill="1" applyBorder="1" applyAlignment="1" applyProtection="1">
      <alignment horizontal="center" vertical="center"/>
      <protection hidden="1"/>
    </xf>
    <xf numFmtId="0" fontId="23" fillId="2" borderId="1" xfId="3" applyFont="1" applyFill="1" applyBorder="1" applyAlignment="1">
      <alignment horizontal="left" vertical="center" wrapText="1"/>
    </xf>
    <xf numFmtId="2" fontId="8" fillId="2" borderId="1" xfId="3" applyNumberFormat="1" applyFont="1" applyFill="1" applyBorder="1" applyAlignment="1">
      <alignment horizontal="center" vertical="center" wrapText="1"/>
    </xf>
    <xf numFmtId="2" fontId="9" fillId="2" borderId="1" xfId="3" applyNumberFormat="1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horizontal="left" vertical="center" wrapText="1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19" fillId="2" borderId="0" xfId="3" applyNumberFormat="1" applyFont="1" applyFill="1" applyAlignment="1">
      <alignment horizontal="center" vertical="center"/>
    </xf>
    <xf numFmtId="0" fontId="18" fillId="0" borderId="0" xfId="4" applyAlignment="1">
      <alignment horizontal="left" vertical="center"/>
    </xf>
    <xf numFmtId="0" fontId="18" fillId="0" borderId="0" xfId="4" applyAlignment="1">
      <alignment vertical="center"/>
    </xf>
    <xf numFmtId="0" fontId="18" fillId="0" borderId="0" xfId="4" applyAlignment="1">
      <alignment horizontal="center" vertical="center"/>
    </xf>
    <xf numFmtId="0" fontId="11" fillId="0" borderId="0" xfId="10" applyFont="1" applyAlignment="1">
      <alignment vertical="top"/>
    </xf>
    <xf numFmtId="0" fontId="18" fillId="0" borderId="0" xfId="4"/>
    <xf numFmtId="0" fontId="11" fillId="0" borderId="0" xfId="4" applyFont="1" applyAlignment="1">
      <alignment horizontal="center" vertical="center"/>
    </xf>
    <xf numFmtId="0" fontId="11" fillId="0" borderId="0" xfId="4" applyFont="1" applyAlignment="1">
      <alignment horizontal="right" vertical="center"/>
    </xf>
    <xf numFmtId="0" fontId="11" fillId="2" borderId="10" xfId="4" applyFont="1" applyFill="1" applyBorder="1" applyAlignment="1">
      <alignment horizontal="center" vertical="center" wrapText="1"/>
    </xf>
    <xf numFmtId="0" fontId="11" fillId="2" borderId="11" xfId="4" applyFont="1" applyFill="1" applyBorder="1" applyAlignment="1">
      <alignment horizontal="center" vertical="center" wrapText="1"/>
    </xf>
    <xf numFmtId="0" fontId="8" fillId="2" borderId="1" xfId="7" applyFont="1" applyFill="1" applyBorder="1" applyAlignment="1" applyProtection="1">
      <alignment horizontal="center" vertical="center" wrapText="1"/>
      <protection hidden="1"/>
    </xf>
    <xf numFmtId="0" fontId="8" fillId="4" borderId="1" xfId="7" applyFont="1" applyFill="1" applyBorder="1" applyAlignment="1" applyProtection="1">
      <alignment horizontal="center" vertical="center" wrapText="1"/>
      <protection hidden="1"/>
    </xf>
    <xf numFmtId="0" fontId="18" fillId="0" borderId="0" xfId="4" applyFont="1"/>
    <xf numFmtId="0" fontId="7" fillId="5" borderId="12" xfId="4" applyFont="1" applyFill="1" applyBorder="1" applyAlignment="1">
      <alignment horizontal="left" vertical="center" wrapText="1"/>
    </xf>
    <xf numFmtId="49" fontId="7" fillId="5" borderId="1" xfId="4" applyNumberFormat="1" applyFont="1" applyFill="1" applyBorder="1" applyAlignment="1">
      <alignment horizontal="center" vertical="center"/>
    </xf>
    <xf numFmtId="166" fontId="7" fillId="5" borderId="1" xfId="4" applyNumberFormat="1" applyFont="1" applyFill="1" applyBorder="1" applyAlignment="1">
      <alignment horizontal="center" vertical="center"/>
    </xf>
    <xf numFmtId="0" fontId="25" fillId="0" borderId="0" xfId="4" applyFont="1"/>
    <xf numFmtId="0" fontId="26" fillId="6" borderId="12" xfId="1" applyNumberFormat="1" applyFont="1" applyFill="1" applyBorder="1" applyAlignment="1" applyProtection="1">
      <alignment horizontal="left" vertical="center" wrapText="1"/>
      <protection hidden="1"/>
    </xf>
    <xf numFmtId="49" fontId="7" fillId="6" borderId="1" xfId="4" applyNumberFormat="1" applyFont="1" applyFill="1" applyBorder="1" applyAlignment="1">
      <alignment horizontal="center" vertical="center"/>
    </xf>
    <xf numFmtId="166" fontId="7" fillId="6" borderId="1" xfId="4" applyNumberFormat="1" applyFont="1" applyFill="1" applyBorder="1" applyAlignment="1">
      <alignment horizontal="center" vertical="center"/>
    </xf>
    <xf numFmtId="0" fontId="11" fillId="0" borderId="12" xfId="4" applyFont="1" applyFill="1" applyBorder="1" applyAlignment="1">
      <alignment horizontal="left" vertical="center" wrapText="1"/>
    </xf>
    <xf numFmtId="49" fontId="11" fillId="0" borderId="1" xfId="4" applyNumberFormat="1" applyFont="1" applyFill="1" applyBorder="1" applyAlignment="1">
      <alignment horizontal="center" vertical="center"/>
    </xf>
    <xf numFmtId="166" fontId="11" fillId="0" borderId="1" xfId="4" applyNumberFormat="1" applyFont="1" applyFill="1" applyBorder="1" applyAlignment="1">
      <alignment horizontal="center" vertical="center"/>
    </xf>
    <xf numFmtId="49" fontId="11" fillId="0" borderId="1" xfId="4" applyNumberFormat="1" applyFont="1" applyFill="1" applyBorder="1" applyAlignment="1">
      <alignment vertical="center"/>
    </xf>
    <xf numFmtId="0" fontId="11" fillId="0" borderId="12" xfId="5" applyNumberFormat="1" applyFont="1" applyFill="1" applyBorder="1" applyAlignment="1" applyProtection="1">
      <alignment horizontal="left" vertical="center" wrapText="1"/>
      <protection hidden="1"/>
    </xf>
    <xf numFmtId="0" fontId="8" fillId="0" borderId="12" xfId="4" applyFont="1" applyFill="1" applyBorder="1" applyAlignment="1">
      <alignment horizontal="left" vertical="center" wrapText="1"/>
    </xf>
    <xf numFmtId="166" fontId="11" fillId="2" borderId="1" xfId="4" applyNumberFormat="1" applyFont="1" applyFill="1" applyBorder="1" applyAlignment="1">
      <alignment horizontal="center" vertical="center"/>
    </xf>
    <xf numFmtId="0" fontId="11" fillId="0" borderId="5" xfId="4" applyFont="1" applyFill="1" applyBorder="1" applyAlignment="1">
      <alignment horizontal="left" vertical="center" wrapText="1"/>
    </xf>
    <xf numFmtId="0" fontId="8" fillId="0" borderId="0" xfId="4" applyFont="1" applyAlignment="1">
      <alignment horizontal="left" vertical="center" wrapText="1"/>
    </xf>
    <xf numFmtId="0" fontId="27" fillId="6" borderId="12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2" xfId="4" applyFont="1" applyBorder="1" applyAlignment="1">
      <alignment horizontal="left" vertical="center" wrapText="1"/>
    </xf>
    <xf numFmtId="0" fontId="11" fillId="0" borderId="1" xfId="4" applyFont="1" applyFill="1" applyBorder="1" applyAlignment="1">
      <alignment horizontal="left" vertical="center" wrapText="1"/>
    </xf>
    <xf numFmtId="0" fontId="7" fillId="6" borderId="12" xfId="4" applyFont="1" applyFill="1" applyBorder="1" applyAlignment="1">
      <alignment horizontal="left" vertical="center" wrapText="1"/>
    </xf>
    <xf numFmtId="0" fontId="28" fillId="0" borderId="12" xfId="5" applyNumberFormat="1" applyFont="1" applyFill="1" applyBorder="1" applyAlignment="1" applyProtection="1">
      <alignment horizontal="left" vertical="center" wrapText="1"/>
      <protection hidden="1"/>
    </xf>
    <xf numFmtId="167" fontId="29" fillId="0" borderId="1" xfId="5" applyNumberFormat="1" applyFont="1" applyFill="1" applyBorder="1" applyAlignment="1" applyProtection="1">
      <alignment horizontal="center" vertical="center" wrapText="1"/>
      <protection hidden="1"/>
    </xf>
    <xf numFmtId="167" fontId="29" fillId="0" borderId="1" xfId="5" applyNumberFormat="1" applyFont="1" applyFill="1" applyBorder="1" applyAlignment="1" applyProtection="1">
      <alignment horizontal="center" vertical="center"/>
      <protection hidden="1"/>
    </xf>
    <xf numFmtId="168" fontId="28" fillId="0" borderId="1" xfId="5" applyNumberFormat="1" applyFont="1" applyFill="1" applyBorder="1" applyAlignment="1" applyProtection="1">
      <alignment horizontal="center" vertical="center"/>
      <protection hidden="1"/>
    </xf>
    <xf numFmtId="169" fontId="28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4" applyFont="1" applyFill="1" applyBorder="1" applyAlignment="1">
      <alignment horizontal="center" vertical="center"/>
    </xf>
    <xf numFmtId="0" fontId="11" fillId="2" borderId="1" xfId="4" applyFont="1" applyFill="1" applyBorder="1" applyAlignment="1">
      <alignment horizontal="center" vertical="center"/>
    </xf>
    <xf numFmtId="0" fontId="11" fillId="0" borderId="1" xfId="4" applyNumberFormat="1" applyFont="1" applyFill="1" applyBorder="1" applyAlignment="1">
      <alignment horizontal="center" vertical="center"/>
    </xf>
    <xf numFmtId="0" fontId="29" fillId="0" borderId="12" xfId="5" applyNumberFormat="1" applyFont="1" applyFill="1" applyBorder="1" applyAlignment="1" applyProtection="1">
      <alignment horizontal="left" vertical="center" wrapText="1"/>
      <protection hidden="1"/>
    </xf>
    <xf numFmtId="169" fontId="11" fillId="0" borderId="1" xfId="11" applyNumberFormat="1" applyFont="1" applyFill="1" applyBorder="1" applyAlignment="1" applyProtection="1">
      <alignment vertical="center"/>
      <protection hidden="1"/>
    </xf>
    <xf numFmtId="0" fontId="8" fillId="0" borderId="12" xfId="4" applyFont="1" applyBorder="1" applyAlignment="1">
      <alignment horizontal="left" vertical="center" wrapText="1"/>
    </xf>
    <xf numFmtId="0" fontId="11" fillId="0" borderId="12" xfId="4" applyNumberFormat="1" applyFont="1" applyFill="1" applyBorder="1" applyAlignment="1" applyProtection="1">
      <alignment horizontal="left" vertical="center" wrapText="1"/>
      <protection hidden="1"/>
    </xf>
    <xf numFmtId="170" fontId="11" fillId="0" borderId="1" xfId="11" applyNumberFormat="1" applyFont="1" applyFill="1" applyBorder="1" applyAlignment="1" applyProtection="1">
      <alignment horizontal="center" vertical="center"/>
      <protection hidden="1"/>
    </xf>
    <xf numFmtId="169" fontId="11" fillId="0" borderId="1" xfId="11" applyNumberFormat="1" applyFont="1" applyFill="1" applyBorder="1" applyAlignment="1" applyProtection="1">
      <alignment horizontal="center" vertical="center"/>
      <protection hidden="1"/>
    </xf>
    <xf numFmtId="49" fontId="11" fillId="0" borderId="6" xfId="4" applyNumberFormat="1" applyFont="1" applyFill="1" applyBorder="1" applyAlignment="1">
      <alignment horizontal="center" vertical="center"/>
    </xf>
    <xf numFmtId="170" fontId="11" fillId="0" borderId="1" xfId="8" applyNumberFormat="1" applyFont="1" applyFill="1" applyBorder="1" applyAlignment="1" applyProtection="1">
      <alignment horizontal="center" vertical="center"/>
      <protection hidden="1"/>
    </xf>
    <xf numFmtId="169" fontId="11" fillId="0" borderId="1" xfId="8" applyNumberFormat="1" applyFont="1" applyFill="1" applyBorder="1" applyAlignment="1" applyProtection="1">
      <alignment horizontal="center" vertical="center"/>
      <protection hidden="1"/>
    </xf>
    <xf numFmtId="167" fontId="28" fillId="0" borderId="1" xfId="5" applyNumberFormat="1" applyFont="1" applyFill="1" applyBorder="1" applyAlignment="1" applyProtection="1">
      <alignment horizontal="center" vertical="center" wrapText="1"/>
      <protection hidden="1"/>
    </xf>
    <xf numFmtId="167" fontId="28" fillId="0" borderId="1" xfId="5" applyNumberFormat="1" applyFont="1" applyFill="1" applyBorder="1" applyAlignment="1" applyProtection="1">
      <alignment horizontal="center" vertical="center"/>
      <protection hidden="1"/>
    </xf>
    <xf numFmtId="167" fontId="11" fillId="0" borderId="1" xfId="5" applyNumberFormat="1" applyFont="1" applyFill="1" applyBorder="1" applyAlignment="1" applyProtection="1">
      <alignment horizontal="center" vertical="center" wrapText="1"/>
      <protection hidden="1"/>
    </xf>
    <xf numFmtId="167" fontId="11" fillId="0" borderId="1" xfId="5" applyNumberFormat="1" applyFont="1" applyFill="1" applyBorder="1" applyAlignment="1" applyProtection="1">
      <alignment horizontal="center" vertical="center"/>
      <protection hidden="1"/>
    </xf>
    <xf numFmtId="168" fontId="11" fillId="0" borderId="1" xfId="5" applyNumberFormat="1" applyFont="1" applyFill="1" applyBorder="1" applyAlignment="1" applyProtection="1">
      <alignment horizontal="center" vertical="center"/>
      <protection hidden="1"/>
    </xf>
    <xf numFmtId="0" fontId="30" fillId="2" borderId="12" xfId="4" applyNumberFormat="1" applyFont="1" applyFill="1" applyBorder="1" applyAlignment="1" applyProtection="1">
      <alignment horizontal="left" vertical="center" wrapText="1"/>
      <protection hidden="1"/>
    </xf>
    <xf numFmtId="0" fontId="18" fillId="0" borderId="0" xfId="4" applyFill="1"/>
    <xf numFmtId="0" fontId="7" fillId="5" borderId="1" xfId="4" applyFont="1" applyFill="1" applyBorder="1" applyAlignment="1">
      <alignment horizontal="center" vertical="center"/>
    </xf>
    <xf numFmtId="0" fontId="26" fillId="6" borderId="12" xfId="5" applyNumberFormat="1" applyFont="1" applyFill="1" applyBorder="1" applyAlignment="1" applyProtection="1">
      <alignment horizontal="left" vertical="center" wrapText="1"/>
      <protection hidden="1"/>
    </xf>
    <xf numFmtId="0" fontId="7" fillId="6" borderId="1" xfId="4" applyFont="1" applyFill="1" applyBorder="1" applyAlignment="1">
      <alignment horizontal="center" vertical="center"/>
    </xf>
    <xf numFmtId="171" fontId="11" fillId="0" borderId="12" xfId="8" applyNumberFormat="1" applyFont="1" applyFill="1" applyBorder="1" applyAlignment="1" applyProtection="1">
      <alignment horizontal="left" vertical="center" wrapText="1"/>
      <protection hidden="1"/>
    </xf>
    <xf numFmtId="0" fontId="27" fillId="5" borderId="12" xfId="1" applyNumberFormat="1" applyFont="1" applyFill="1" applyBorder="1" applyAlignment="1" applyProtection="1">
      <alignment horizontal="left" vertical="center" wrapText="1"/>
      <protection hidden="1"/>
    </xf>
    <xf numFmtId="0" fontId="11" fillId="2" borderId="12" xfId="4" applyNumberFormat="1" applyFont="1" applyFill="1" applyBorder="1" applyAlignment="1" applyProtection="1">
      <alignment horizontal="left" vertical="center" wrapText="1"/>
      <protection hidden="1"/>
    </xf>
    <xf numFmtId="169" fontId="28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28" fillId="0" borderId="12" xfId="6" applyNumberFormat="1" applyFont="1" applyFill="1" applyBorder="1" applyAlignment="1" applyProtection="1">
      <alignment horizontal="left" vertical="center" wrapText="1"/>
      <protection hidden="1"/>
    </xf>
    <xf numFmtId="0" fontId="8" fillId="2" borderId="12" xfId="4" applyNumberFormat="1" applyFont="1" applyFill="1" applyBorder="1" applyAlignment="1" applyProtection="1">
      <alignment horizontal="left" vertical="center" wrapText="1"/>
      <protection hidden="1"/>
    </xf>
    <xf numFmtId="0" fontId="7" fillId="6" borderId="12" xfId="1" applyNumberFormat="1" applyFont="1" applyFill="1" applyBorder="1" applyAlignment="1" applyProtection="1">
      <alignment horizontal="left" vertical="center" wrapText="1"/>
      <protection hidden="1"/>
    </xf>
    <xf numFmtId="0" fontId="11" fillId="2" borderId="12" xfId="4" applyFont="1" applyFill="1" applyBorder="1" applyAlignment="1">
      <alignment horizontal="left" vertical="center" wrapText="1"/>
    </xf>
    <xf numFmtId="49" fontId="11" fillId="2" borderId="1" xfId="4" applyNumberFormat="1" applyFont="1" applyFill="1" applyBorder="1" applyAlignment="1">
      <alignment horizontal="center" vertical="center"/>
    </xf>
    <xf numFmtId="0" fontId="31" fillId="0" borderId="12" xfId="5" applyNumberFormat="1" applyFont="1" applyFill="1" applyBorder="1" applyAlignment="1" applyProtection="1">
      <alignment horizontal="left" vertical="center" wrapText="1"/>
      <protection hidden="1"/>
    </xf>
    <xf numFmtId="0" fontId="28" fillId="2" borderId="12" xfId="5" applyNumberFormat="1" applyFont="1" applyFill="1" applyBorder="1" applyAlignment="1" applyProtection="1">
      <alignment horizontal="left" vertical="center" wrapText="1"/>
      <protection hidden="1"/>
    </xf>
    <xf numFmtId="0" fontId="28" fillId="0" borderId="12" xfId="5" applyFont="1" applyFill="1" applyBorder="1" applyAlignment="1">
      <alignment horizontal="left" vertical="center" wrapText="1"/>
    </xf>
    <xf numFmtId="171" fontId="7" fillId="6" borderId="12" xfId="8" applyNumberFormat="1" applyFont="1" applyFill="1" applyBorder="1" applyAlignment="1" applyProtection="1">
      <alignment horizontal="left" vertical="center" wrapText="1"/>
      <protection hidden="1"/>
    </xf>
    <xf numFmtId="0" fontId="30" fillId="2" borderId="12" xfId="4" applyFont="1" applyFill="1" applyBorder="1" applyAlignment="1">
      <alignment horizontal="left" vertical="center" wrapText="1"/>
    </xf>
    <xf numFmtId="172" fontId="11" fillId="4" borderId="1" xfId="8" applyNumberFormat="1" applyFont="1" applyFill="1" applyBorder="1" applyAlignment="1" applyProtection="1">
      <alignment horizontal="center" vertical="center"/>
      <protection hidden="1"/>
    </xf>
    <xf numFmtId="49" fontId="11" fillId="0" borderId="1" xfId="8" applyNumberFormat="1" applyFont="1" applyFill="1" applyBorder="1" applyAlignment="1" applyProtection="1">
      <alignment horizontal="center" vertical="center"/>
      <protection hidden="1"/>
    </xf>
    <xf numFmtId="0" fontId="11" fillId="4" borderId="12" xfId="4" applyNumberFormat="1" applyFont="1" applyFill="1" applyBorder="1" applyAlignment="1" applyProtection="1">
      <alignment horizontal="left" vertical="center" wrapText="1"/>
      <protection hidden="1"/>
    </xf>
    <xf numFmtId="49" fontId="11" fillId="0" borderId="1" xfId="4" applyNumberFormat="1" applyFont="1" applyBorder="1" applyAlignment="1">
      <alignment horizontal="center" vertical="center"/>
    </xf>
    <xf numFmtId="0" fontId="11" fillId="2" borderId="1" xfId="4" applyNumberFormat="1" applyFont="1" applyFill="1" applyBorder="1" applyAlignment="1">
      <alignment horizontal="center" vertical="center"/>
    </xf>
    <xf numFmtId="0" fontId="27" fillId="6" borderId="12" xfId="5" applyNumberFormat="1" applyFont="1" applyFill="1" applyBorder="1" applyAlignment="1" applyProtection="1">
      <alignment horizontal="left" vertical="center" wrapText="1"/>
      <protection hidden="1"/>
    </xf>
    <xf numFmtId="167" fontId="32" fillId="6" borderId="1" xfId="5" applyNumberFormat="1" applyFont="1" applyFill="1" applyBorder="1" applyAlignment="1" applyProtection="1">
      <alignment horizontal="center" vertical="center" wrapText="1"/>
      <protection hidden="1"/>
    </xf>
    <xf numFmtId="167" fontId="32" fillId="6" borderId="1" xfId="5" applyNumberFormat="1" applyFont="1" applyFill="1" applyBorder="1" applyAlignment="1" applyProtection="1">
      <alignment horizontal="center" vertical="center"/>
      <protection hidden="1"/>
    </xf>
    <xf numFmtId="168" fontId="32" fillId="6" borderId="1" xfId="5" applyNumberFormat="1" applyFont="1" applyFill="1" applyBorder="1" applyAlignment="1" applyProtection="1">
      <alignment horizontal="center" vertical="center"/>
      <protection hidden="1"/>
    </xf>
    <xf numFmtId="169" fontId="32" fillId="6" borderId="1" xfId="5" applyNumberFormat="1" applyFont="1" applyFill="1" applyBorder="1" applyAlignment="1" applyProtection="1">
      <alignment vertical="center" wrapText="1"/>
      <protection hidden="1"/>
    </xf>
    <xf numFmtId="0" fontId="33" fillId="0" borderId="12" xfId="4" applyFont="1" applyFill="1" applyBorder="1" applyAlignment="1">
      <alignment horizontal="left" vertical="center" wrapText="1"/>
    </xf>
    <xf numFmtId="168" fontId="29" fillId="0" borderId="1" xfId="5" applyNumberFormat="1" applyFont="1" applyFill="1" applyBorder="1" applyAlignment="1" applyProtection="1">
      <alignment horizontal="center" vertical="center"/>
      <protection hidden="1"/>
    </xf>
    <xf numFmtId="169" fontId="32" fillId="2" borderId="1" xfId="5" applyNumberFormat="1" applyFont="1" applyFill="1" applyBorder="1" applyAlignment="1" applyProtection="1">
      <alignment vertical="center" wrapText="1"/>
      <protection hidden="1"/>
    </xf>
    <xf numFmtId="0" fontId="18" fillId="0" borderId="0" xfId="4" applyFont="1" applyFill="1"/>
    <xf numFmtId="169" fontId="29" fillId="2" borderId="1" xfId="5" applyNumberFormat="1" applyFont="1" applyFill="1" applyBorder="1" applyAlignment="1" applyProtection="1">
      <alignment horizontal="center" vertical="center" wrapText="1"/>
      <protection hidden="1"/>
    </xf>
    <xf numFmtId="169" fontId="29" fillId="2" borderId="1" xfId="5" applyNumberFormat="1" applyFont="1" applyFill="1" applyBorder="1" applyAlignment="1" applyProtection="1">
      <alignment horizontal="center" vertical="top" wrapText="1"/>
      <protection hidden="1"/>
    </xf>
    <xf numFmtId="0" fontId="7" fillId="6" borderId="12" xfId="5" applyNumberFormat="1" applyFont="1" applyFill="1" applyBorder="1" applyAlignment="1" applyProtection="1">
      <alignment horizontal="left" vertical="center" wrapText="1"/>
      <protection hidden="1"/>
    </xf>
    <xf numFmtId="169" fontId="29" fillId="2" borderId="1" xfId="5" applyNumberFormat="1" applyFont="1" applyFill="1" applyBorder="1" applyAlignment="1" applyProtection="1">
      <alignment vertical="center" wrapText="1"/>
      <protection hidden="1"/>
    </xf>
    <xf numFmtId="0" fontId="11" fillId="2" borderId="12" xfId="5" applyNumberFormat="1" applyFont="1" applyFill="1" applyBorder="1" applyAlignment="1" applyProtection="1">
      <alignment horizontal="left" vertical="center" wrapText="1"/>
      <protection hidden="1"/>
    </xf>
    <xf numFmtId="169" fontId="11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34" fillId="6" borderId="12" xfId="5" applyNumberFormat="1" applyFont="1" applyFill="1" applyBorder="1" applyAlignment="1" applyProtection="1">
      <alignment horizontal="left" vertical="center" wrapText="1"/>
      <protection hidden="1"/>
    </xf>
    <xf numFmtId="166" fontId="32" fillId="6" borderId="1" xfId="5" applyNumberFormat="1" applyFont="1" applyFill="1" applyBorder="1" applyAlignment="1" applyProtection="1">
      <alignment horizontal="center" vertical="center"/>
      <protection hidden="1"/>
    </xf>
    <xf numFmtId="169" fontId="28" fillId="2" borderId="1" xfId="5" applyNumberFormat="1" applyFont="1" applyFill="1" applyBorder="1" applyAlignment="1" applyProtection="1">
      <alignment horizontal="center" vertical="center" wrapText="1"/>
      <protection hidden="1"/>
    </xf>
    <xf numFmtId="166" fontId="29" fillId="2" borderId="1" xfId="5" applyNumberFormat="1" applyFont="1" applyFill="1" applyBorder="1" applyAlignment="1" applyProtection="1">
      <alignment horizontal="center" vertical="center"/>
      <protection hidden="1"/>
    </xf>
    <xf numFmtId="0" fontId="35" fillId="6" borderId="12" xfId="4" applyFont="1" applyFill="1" applyBorder="1" applyAlignment="1">
      <alignment horizontal="left" vertical="center" wrapText="1"/>
    </xf>
    <xf numFmtId="0" fontId="11" fillId="0" borderId="0" xfId="4" applyFont="1" applyAlignment="1">
      <alignment horizontal="left" vertical="center" wrapText="1"/>
    </xf>
    <xf numFmtId="0" fontId="26" fillId="5" borderId="12" xfId="1" applyNumberFormat="1" applyFont="1" applyFill="1" applyBorder="1" applyAlignment="1" applyProtection="1">
      <alignment horizontal="left" vertical="center" wrapText="1"/>
      <protection hidden="1"/>
    </xf>
    <xf numFmtId="49" fontId="11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1" fillId="0" borderId="13" xfId="4" applyFont="1" applyFill="1" applyBorder="1" applyAlignment="1">
      <alignment horizontal="left" vertical="center" wrapText="1"/>
    </xf>
    <xf numFmtId="49" fontId="11" fillId="0" borderId="3" xfId="4" applyNumberFormat="1" applyFont="1" applyFill="1" applyBorder="1" applyAlignment="1">
      <alignment horizontal="center" vertical="center"/>
    </xf>
    <xf numFmtId="166" fontId="11" fillId="2" borderId="3" xfId="4" applyNumberFormat="1" applyFont="1" applyFill="1" applyBorder="1" applyAlignment="1">
      <alignment horizontal="center" vertical="center"/>
    </xf>
    <xf numFmtId="169" fontId="11" fillId="0" borderId="3" xfId="8" applyNumberFormat="1" applyFont="1" applyFill="1" applyBorder="1" applyAlignment="1" applyProtection="1">
      <alignment horizontal="center" vertical="center"/>
      <protection hidden="1"/>
    </xf>
    <xf numFmtId="0" fontId="29" fillId="2" borderId="12" xfId="5" applyNumberFormat="1" applyFont="1" applyFill="1" applyBorder="1" applyAlignment="1" applyProtection="1">
      <alignment horizontal="left" vertical="center" wrapText="1"/>
      <protection hidden="1"/>
    </xf>
    <xf numFmtId="170" fontId="11" fillId="0" borderId="1" xfId="4" applyNumberFormat="1" applyFont="1" applyFill="1" applyBorder="1" applyAlignment="1" applyProtection="1">
      <alignment horizontal="center" vertical="center"/>
      <protection hidden="1"/>
    </xf>
    <xf numFmtId="0" fontId="11" fillId="2" borderId="13" xfId="4" applyNumberFormat="1" applyFont="1" applyFill="1" applyBorder="1" applyAlignment="1" applyProtection="1">
      <alignment horizontal="left" vertical="center" wrapText="1"/>
      <protection hidden="1"/>
    </xf>
    <xf numFmtId="169" fontId="29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36" fillId="2" borderId="14" xfId="4" applyFont="1" applyFill="1" applyBorder="1" applyAlignment="1">
      <alignment horizontal="left" vertical="center" wrapText="1"/>
    </xf>
    <xf numFmtId="0" fontId="11" fillId="0" borderId="5" xfId="5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5" applyNumberFormat="1" applyFont="1" applyFill="1" applyBorder="1" applyAlignment="1" applyProtection="1">
      <alignment horizontal="left" vertical="center" wrapText="1"/>
      <protection hidden="1"/>
    </xf>
    <xf numFmtId="169" fontId="28" fillId="0" borderId="6" xfId="5" applyNumberFormat="1" applyFont="1" applyFill="1" applyBorder="1" applyAlignment="1" applyProtection="1">
      <alignment horizontal="center" vertical="center" wrapText="1"/>
      <protection hidden="1"/>
    </xf>
    <xf numFmtId="166" fontId="11" fillId="2" borderId="6" xfId="4" applyNumberFormat="1" applyFont="1" applyFill="1" applyBorder="1" applyAlignment="1">
      <alignment horizontal="center" vertical="center"/>
    </xf>
    <xf numFmtId="0" fontId="11" fillId="0" borderId="1" xfId="4" applyFont="1" applyBorder="1" applyAlignment="1">
      <alignment horizontal="left" vertical="center" wrapText="1"/>
    </xf>
    <xf numFmtId="167" fontId="11" fillId="2" borderId="1" xfId="5" applyNumberFormat="1" applyFont="1" applyFill="1" applyBorder="1" applyAlignment="1" applyProtection="1">
      <alignment horizontal="center" vertical="center"/>
      <protection hidden="1"/>
    </xf>
    <xf numFmtId="49" fontId="11" fillId="2" borderId="1" xfId="5" applyNumberFormat="1" applyFont="1" applyFill="1" applyBorder="1" applyAlignment="1" applyProtection="1">
      <alignment horizontal="center" vertical="center" wrapText="1"/>
      <protection hidden="1"/>
    </xf>
    <xf numFmtId="0" fontId="35" fillId="5" borderId="12" xfId="5" applyNumberFormat="1" applyFont="1" applyFill="1" applyBorder="1" applyAlignment="1" applyProtection="1">
      <alignment horizontal="left" vertical="center" wrapText="1"/>
      <protection hidden="1"/>
    </xf>
    <xf numFmtId="167" fontId="7" fillId="5" borderId="1" xfId="5" applyNumberFormat="1" applyFont="1" applyFill="1" applyBorder="1" applyAlignment="1" applyProtection="1">
      <alignment horizontal="center" vertical="center"/>
      <protection hidden="1"/>
    </xf>
    <xf numFmtId="49" fontId="7" fillId="5" borderId="1" xfId="5" applyNumberFormat="1" applyFont="1" applyFill="1" applyBorder="1" applyAlignment="1" applyProtection="1">
      <alignment horizontal="center" vertical="center" wrapText="1"/>
      <protection hidden="1"/>
    </xf>
    <xf numFmtId="169" fontId="26" fillId="5" borderId="1" xfId="5" applyNumberFormat="1" applyFont="1" applyFill="1" applyBorder="1" applyAlignment="1" applyProtection="1">
      <alignment horizontal="center" vertical="center" wrapText="1"/>
      <protection hidden="1"/>
    </xf>
    <xf numFmtId="169" fontId="26" fillId="5" borderId="3" xfId="5" applyNumberFormat="1" applyFont="1" applyFill="1" applyBorder="1" applyAlignment="1" applyProtection="1">
      <alignment horizontal="center" vertical="center" wrapText="1"/>
      <protection hidden="1"/>
    </xf>
    <xf numFmtId="166" fontId="7" fillId="5" borderId="3" xfId="4" applyNumberFormat="1" applyFont="1" applyFill="1" applyBorder="1" applyAlignment="1">
      <alignment horizontal="center" vertical="center"/>
    </xf>
    <xf numFmtId="167" fontId="7" fillId="6" borderId="1" xfId="5" applyNumberFormat="1" applyFont="1" applyFill="1" applyBorder="1" applyAlignment="1" applyProtection="1">
      <alignment horizontal="center" vertical="center"/>
      <protection hidden="1"/>
    </xf>
    <xf numFmtId="0" fontId="7" fillId="6" borderId="3" xfId="4" applyFont="1" applyFill="1" applyBorder="1" applyAlignment="1">
      <alignment horizontal="center" vertical="center"/>
    </xf>
    <xf numFmtId="166" fontId="7" fillId="6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/>
    </xf>
    <xf numFmtId="169" fontId="28" fillId="0" borderId="3" xfId="5" applyNumberFormat="1" applyFont="1" applyFill="1" applyBorder="1" applyAlignment="1" applyProtection="1">
      <alignment horizontal="center" vertical="center" wrapText="1"/>
      <protection hidden="1"/>
    </xf>
    <xf numFmtId="166" fontId="11" fillId="0" borderId="3" xfId="4" applyNumberFormat="1" applyFont="1" applyFill="1" applyBorder="1" applyAlignment="1">
      <alignment horizontal="center" vertical="center"/>
    </xf>
    <xf numFmtId="0" fontId="11" fillId="2" borderId="14" xfId="4" applyFont="1" applyFill="1" applyBorder="1" applyAlignment="1">
      <alignment horizontal="left" vertical="center" wrapText="1"/>
    </xf>
    <xf numFmtId="167" fontId="32" fillId="5" borderId="1" xfId="5" applyNumberFormat="1" applyFont="1" applyFill="1" applyBorder="1" applyAlignment="1" applyProtection="1">
      <alignment horizontal="center" vertical="center" wrapText="1"/>
      <protection hidden="1"/>
    </xf>
    <xf numFmtId="167" fontId="26" fillId="6" borderId="1" xfId="5" applyNumberFormat="1" applyFont="1" applyFill="1" applyBorder="1" applyAlignment="1" applyProtection="1">
      <alignment horizontal="center" vertical="center"/>
      <protection hidden="1"/>
    </xf>
    <xf numFmtId="166" fontId="29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5" applyNumberFormat="1" applyFont="1" applyFill="1" applyBorder="1" applyAlignment="1" applyProtection="1">
      <alignment horizontal="left" vertical="center" wrapText="1"/>
      <protection hidden="1"/>
    </xf>
    <xf numFmtId="167" fontId="26" fillId="5" borderId="1" xfId="5" applyNumberFormat="1" applyFont="1" applyFill="1" applyBorder="1" applyAlignment="1" applyProtection="1">
      <alignment horizontal="center" vertical="center" wrapText="1"/>
      <protection hidden="1"/>
    </xf>
    <xf numFmtId="167" fontId="26" fillId="5" borderId="1" xfId="5" applyNumberFormat="1" applyFont="1" applyFill="1" applyBorder="1" applyAlignment="1" applyProtection="1">
      <alignment horizontal="center" vertical="center"/>
      <protection hidden="1"/>
    </xf>
    <xf numFmtId="167" fontId="26" fillId="6" borderId="1" xfId="5" applyNumberFormat="1" applyFont="1" applyFill="1" applyBorder="1" applyAlignment="1" applyProtection="1">
      <alignment horizontal="center" vertical="center" wrapText="1"/>
      <protection hidden="1"/>
    </xf>
    <xf numFmtId="167" fontId="28" fillId="2" borderId="1" xfId="5" applyNumberFormat="1" applyFont="1" applyFill="1" applyBorder="1" applyAlignment="1" applyProtection="1">
      <alignment horizontal="center" vertical="center"/>
      <protection hidden="1"/>
    </xf>
    <xf numFmtId="49" fontId="28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26" fillId="5" borderId="12" xfId="12" applyNumberFormat="1" applyFont="1" applyFill="1" applyBorder="1" applyAlignment="1" applyProtection="1">
      <alignment horizontal="left" vertical="center" wrapText="1"/>
      <protection hidden="1"/>
    </xf>
    <xf numFmtId="49" fontId="37" fillId="5" borderId="1" xfId="4" applyNumberFormat="1" applyFont="1" applyFill="1" applyBorder="1" applyAlignment="1">
      <alignment horizontal="center" vertical="center"/>
    </xf>
    <xf numFmtId="0" fontId="37" fillId="5" borderId="1" xfId="4" applyFont="1" applyFill="1" applyBorder="1" applyAlignment="1">
      <alignment horizontal="center" vertical="center"/>
    </xf>
    <xf numFmtId="0" fontId="26" fillId="6" borderId="12" xfId="12" applyNumberFormat="1" applyFont="1" applyFill="1" applyBorder="1" applyAlignment="1" applyProtection="1">
      <alignment horizontal="left" vertical="center" wrapText="1"/>
      <protection hidden="1"/>
    </xf>
    <xf numFmtId="49" fontId="37" fillId="6" borderId="1" xfId="4" applyNumberFormat="1" applyFont="1" applyFill="1" applyBorder="1" applyAlignment="1">
      <alignment horizontal="center" vertical="center"/>
    </xf>
    <xf numFmtId="0" fontId="37" fillId="6" borderId="1" xfId="4" applyFont="1" applyFill="1" applyBorder="1" applyAlignment="1">
      <alignment horizontal="center" vertical="center"/>
    </xf>
    <xf numFmtId="49" fontId="38" fillId="0" borderId="1" xfId="4" applyNumberFormat="1" applyFont="1" applyFill="1" applyBorder="1" applyAlignment="1">
      <alignment horizontal="center" vertical="center"/>
    </xf>
    <xf numFmtId="0" fontId="38" fillId="0" borderId="1" xfId="4" applyFont="1" applyFill="1" applyBorder="1" applyAlignment="1">
      <alignment horizontal="center" vertical="center"/>
    </xf>
    <xf numFmtId="0" fontId="28" fillId="0" borderId="1" xfId="5" applyNumberFormat="1" applyFont="1" applyFill="1" applyBorder="1" applyAlignment="1" applyProtection="1">
      <alignment horizontal="left" vertical="center" wrapText="1"/>
      <protection hidden="1"/>
    </xf>
    <xf numFmtId="167" fontId="29" fillId="0" borderId="6" xfId="5" applyNumberFormat="1" applyFont="1" applyFill="1" applyBorder="1" applyAlignment="1" applyProtection="1">
      <alignment horizontal="center" vertical="center" wrapText="1"/>
      <protection hidden="1"/>
    </xf>
    <xf numFmtId="167" fontId="29" fillId="0" borderId="6" xfId="5" applyNumberFormat="1" applyFont="1" applyFill="1" applyBorder="1" applyAlignment="1" applyProtection="1">
      <alignment horizontal="center" vertical="center"/>
      <protection hidden="1"/>
    </xf>
    <xf numFmtId="49" fontId="11" fillId="2" borderId="6" xfId="4" applyNumberFormat="1" applyFont="1" applyFill="1" applyBorder="1" applyAlignment="1">
      <alignment horizontal="center" vertical="center"/>
    </xf>
    <xf numFmtId="0" fontId="11" fillId="2" borderId="6" xfId="4" applyFont="1" applyFill="1" applyBorder="1" applyAlignment="1">
      <alignment horizontal="center" vertical="center"/>
    </xf>
    <xf numFmtId="0" fontId="7" fillId="5" borderId="15" xfId="4" applyFont="1" applyFill="1" applyBorder="1" applyAlignment="1">
      <alignment horizontal="left" vertical="center"/>
    </xf>
    <xf numFmtId="0" fontId="7" fillId="5" borderId="16" xfId="4" applyFont="1" applyFill="1" applyBorder="1" applyAlignment="1">
      <alignment horizontal="center" vertical="center"/>
    </xf>
    <xf numFmtId="166" fontId="7" fillId="5" borderId="16" xfId="4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9" fillId="2" borderId="0" xfId="3" applyFont="1" applyFill="1" applyAlignment="1">
      <alignment horizontal="right" vertical="top"/>
    </xf>
    <xf numFmtId="0" fontId="9" fillId="2" borderId="9" xfId="2" applyFont="1" applyFill="1" applyBorder="1" applyAlignment="1">
      <alignment horizontal="center" vertical="center"/>
    </xf>
    <xf numFmtId="0" fontId="11" fillId="0" borderId="0" xfId="10" applyFont="1" applyAlignment="1">
      <alignment horizontal="right" vertical="center"/>
    </xf>
    <xf numFmtId="0" fontId="24" fillId="2" borderId="0" xfId="4" applyFont="1" applyFill="1" applyAlignment="1">
      <alignment horizontal="center" vertical="center" wrapText="1"/>
    </xf>
  </cellXfs>
  <cellStyles count="13">
    <cellStyle name="Обычный" xfId="0" builtinId="0"/>
    <cellStyle name="Обычный 11" xfId="7"/>
    <cellStyle name="Обычный 2 10" xfId="11"/>
    <cellStyle name="Обычный 2 2" xfId="8"/>
    <cellStyle name="Обычный 2 22" xfId="3"/>
    <cellStyle name="Обычный 3 2" xfId="4"/>
    <cellStyle name="Обычный 5" xfId="2"/>
    <cellStyle name="Обычный_03.10 Приложение 10" xfId="10"/>
    <cellStyle name="Обычный_Tmp2" xfId="1"/>
    <cellStyle name="Обычный_Tmp6" xfId="12"/>
    <cellStyle name="Обычный_Tmp7" xfId="5"/>
    <cellStyle name="Обычный_Tmp7 2" xfId="6"/>
    <cellStyle name="Процентный 3" xfId="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L135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CE127"/>
    </sheetView>
  </sheetViews>
  <sheetFormatPr defaultRowHeight="22.5" customHeight="1"/>
  <cols>
    <col min="1" max="1" width="17.140625" style="1" customWidth="1"/>
    <col min="2" max="2" width="39" style="1" customWidth="1"/>
    <col min="3" max="5" width="9.42578125" style="1" hidden="1" customWidth="1"/>
    <col min="6" max="6" width="12.5703125" style="1" hidden="1" customWidth="1"/>
    <col min="7" max="7" width="9.5703125" style="1" hidden="1" customWidth="1"/>
    <col min="8" max="8" width="12" style="1" hidden="1" customWidth="1"/>
    <col min="9" max="9" width="12.5703125" style="1" hidden="1" customWidth="1"/>
    <col min="10" max="10" width="9.5703125" style="1" hidden="1" customWidth="1"/>
    <col min="11" max="11" width="12" style="1" hidden="1" customWidth="1"/>
    <col min="12" max="12" width="8.85546875" style="1" hidden="1" customWidth="1"/>
    <col min="13" max="13" width="12.5703125" style="1" hidden="1" customWidth="1"/>
    <col min="14" max="14" width="9.5703125" style="1" hidden="1" customWidth="1"/>
    <col min="15" max="15" width="12" style="1" hidden="1" customWidth="1"/>
    <col min="16" max="16" width="9.85546875" style="1" hidden="1" customWidth="1"/>
    <col min="17" max="17" width="12.5703125" style="1" hidden="1" customWidth="1"/>
    <col min="18" max="18" width="9.5703125" style="1" hidden="1" customWidth="1"/>
    <col min="19" max="19" width="12" style="1" hidden="1" customWidth="1"/>
    <col min="20" max="20" width="9.7109375" style="1" hidden="1" customWidth="1"/>
    <col min="21" max="21" width="12.140625" style="1" hidden="1" customWidth="1"/>
    <col min="22" max="23" width="11" style="1" hidden="1" customWidth="1"/>
    <col min="24" max="24" width="10.42578125" style="1" hidden="1" customWidth="1"/>
    <col min="25" max="25" width="9.28515625" style="1" hidden="1" customWidth="1"/>
    <col min="26" max="26" width="10.5703125" style="1" hidden="1" customWidth="1"/>
    <col min="27" max="27" width="8.42578125" style="1" hidden="1" customWidth="1"/>
    <col min="28" max="28" width="10.7109375" style="1" hidden="1" customWidth="1"/>
    <col min="29" max="29" width="10.85546875" style="1" hidden="1" customWidth="1"/>
    <col min="30" max="31" width="10.7109375" style="1" hidden="1" customWidth="1"/>
    <col min="32" max="32" width="8.42578125" style="1" hidden="1" customWidth="1"/>
    <col min="33" max="34" width="10.7109375" style="1" hidden="1" customWidth="1"/>
    <col min="35" max="36" width="10.5703125" style="1" hidden="1" customWidth="1"/>
    <col min="37" max="37" width="10.140625" style="1" hidden="1" customWidth="1"/>
    <col min="38" max="38" width="9.42578125" style="1" customWidth="1"/>
    <col min="39" max="39" width="10.85546875" style="1" hidden="1" customWidth="1"/>
    <col min="40" max="40" width="10.7109375" style="1" hidden="1" customWidth="1"/>
    <col min="41" max="41" width="7.140625" style="1" hidden="1" customWidth="1"/>
    <col min="42" max="42" width="9" style="1" hidden="1" customWidth="1"/>
    <col min="43" max="43" width="9.140625" style="1" hidden="1" customWidth="1"/>
    <col min="44" max="44" width="9.7109375" style="1" hidden="1" customWidth="1"/>
    <col min="45" max="45" width="9" style="1" hidden="1" customWidth="1"/>
    <col min="46" max="46" width="5.85546875" style="1" hidden="1" customWidth="1"/>
    <col min="47" max="47" width="0.140625" style="1" hidden="1" customWidth="1"/>
    <col min="48" max="48" width="10.28515625" style="1" hidden="1" customWidth="1"/>
    <col min="49" max="49" width="11.5703125" style="1" hidden="1" customWidth="1"/>
    <col min="50" max="50" width="9.140625" style="1" hidden="1" customWidth="1"/>
    <col min="51" max="52" width="9.42578125" style="1" hidden="1" customWidth="1"/>
    <col min="53" max="54" width="10.5703125" style="1" hidden="1" customWidth="1"/>
    <col min="55" max="55" width="10.42578125" style="1" hidden="1" customWidth="1"/>
    <col min="56" max="56" width="0.140625" style="1" hidden="1" customWidth="1"/>
    <col min="57" max="57" width="8.7109375" style="1" customWidth="1"/>
    <col min="58" max="58" width="10.28515625" style="1" hidden="1" customWidth="1"/>
    <col min="59" max="59" width="10.42578125" style="1" hidden="1" customWidth="1"/>
    <col min="60" max="63" width="10.5703125" style="1" hidden="1" customWidth="1"/>
    <col min="64" max="64" width="10.28515625" style="1" hidden="1" customWidth="1"/>
    <col min="65" max="65" width="8.140625" style="1" hidden="1" customWidth="1"/>
    <col min="66" max="66" width="9.5703125" style="1" customWidth="1"/>
    <col min="67" max="67" width="10.28515625" style="1" hidden="1" customWidth="1"/>
    <col min="68" max="68" width="10.42578125" style="1" customWidth="1"/>
    <col min="69" max="74" width="10.5703125" style="1" hidden="1" customWidth="1"/>
    <col min="75" max="75" width="10.5703125" style="1" customWidth="1"/>
    <col min="76" max="76" width="8.5703125" style="4" customWidth="1"/>
    <col min="77" max="77" width="8.140625" style="4" customWidth="1"/>
    <col min="78" max="78" width="10.5703125" style="1" hidden="1" customWidth="1"/>
    <col min="79" max="79" width="9.42578125" style="1" customWidth="1"/>
    <col min="80" max="80" width="10.28515625" style="1" hidden="1" customWidth="1"/>
    <col min="81" max="83" width="10.28515625" style="26" customWidth="1"/>
    <col min="84" max="87" width="10.42578125" style="1" hidden="1" customWidth="1"/>
    <col min="88" max="89" width="10.5703125" style="1" hidden="1" customWidth="1"/>
    <col min="90" max="90" width="0" style="1" hidden="1" customWidth="1"/>
    <col min="91" max="16384" width="9.140625" style="1"/>
  </cols>
  <sheetData>
    <row r="1" spans="1:89" ht="22.5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3"/>
      <c r="BA1" s="3"/>
      <c r="BB1" s="3"/>
      <c r="BC1" s="3"/>
      <c r="BD1" s="3"/>
      <c r="BE1" s="3"/>
      <c r="BF1" s="2"/>
      <c r="BG1" s="3"/>
      <c r="BJ1" s="3"/>
      <c r="BK1" s="3"/>
      <c r="BL1" s="3"/>
      <c r="BM1" s="3"/>
      <c r="BN1" s="3"/>
      <c r="BO1" s="2"/>
      <c r="BP1" s="3"/>
      <c r="BS1" s="3"/>
      <c r="CA1" s="3"/>
      <c r="CB1" s="2"/>
      <c r="CC1" s="2" t="s">
        <v>0</v>
      </c>
      <c r="CD1" s="2"/>
      <c r="CE1" s="2"/>
      <c r="CF1" s="3"/>
      <c r="CG1" s="3"/>
      <c r="CH1" s="3"/>
      <c r="CI1" s="3"/>
    </row>
    <row r="2" spans="1:89" s="5" customFormat="1" ht="22.5" customHeight="1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 t="s">
        <v>1</v>
      </c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F2" s="6"/>
      <c r="BG2" s="6"/>
      <c r="BH2" s="6"/>
      <c r="BI2" s="6"/>
      <c r="BJ2" s="6"/>
      <c r="BK2" s="6"/>
      <c r="BM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B2" s="6"/>
      <c r="CC2" s="47"/>
      <c r="CD2" s="47"/>
      <c r="CE2" s="47"/>
      <c r="CF2" s="6"/>
      <c r="CG2" s="6"/>
      <c r="CH2" s="6"/>
      <c r="CI2" s="6"/>
      <c r="CJ2" s="6"/>
      <c r="CK2" s="6"/>
    </row>
    <row r="3" spans="1:89" s="5" customFormat="1" ht="14.25" customHeight="1">
      <c r="B3" s="7"/>
      <c r="C3" s="7"/>
      <c r="D3" s="7"/>
      <c r="E3" s="7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4"/>
      <c r="BY3" s="4"/>
      <c r="BZ3" s="8"/>
      <c r="CA3" s="8"/>
      <c r="CB3" s="8"/>
      <c r="CC3" s="48"/>
      <c r="CD3" s="48"/>
      <c r="CE3" s="48"/>
      <c r="CF3" s="8"/>
      <c r="CG3" s="8"/>
      <c r="CH3" s="8"/>
      <c r="CI3" s="8"/>
      <c r="CJ3" s="8"/>
      <c r="CK3" s="8"/>
    </row>
    <row r="4" spans="1:89" ht="36.75" customHeight="1">
      <c r="A4" s="9" t="s">
        <v>2</v>
      </c>
      <c r="B4" s="9" t="s">
        <v>3</v>
      </c>
      <c r="C4" s="10" t="s">
        <v>4</v>
      </c>
      <c r="D4" s="11" t="s">
        <v>5</v>
      </c>
      <c r="E4" s="10" t="s">
        <v>6</v>
      </c>
      <c r="F4" s="10" t="s">
        <v>7</v>
      </c>
      <c r="G4" s="11" t="s">
        <v>8</v>
      </c>
      <c r="H4" s="10" t="s">
        <v>9</v>
      </c>
      <c r="I4" s="10" t="s">
        <v>10</v>
      </c>
      <c r="J4" s="11" t="s">
        <v>11</v>
      </c>
      <c r="K4" s="10" t="s">
        <v>12</v>
      </c>
      <c r="L4" s="10" t="s">
        <v>13</v>
      </c>
      <c r="M4" s="12" t="s">
        <v>14</v>
      </c>
      <c r="N4" s="13" t="s">
        <v>15</v>
      </c>
      <c r="O4" s="10" t="s">
        <v>16</v>
      </c>
      <c r="P4" s="12" t="s">
        <v>17</v>
      </c>
      <c r="Q4" s="12" t="s">
        <v>18</v>
      </c>
      <c r="R4" s="13" t="s">
        <v>19</v>
      </c>
      <c r="S4" s="10" t="s">
        <v>20</v>
      </c>
      <c r="T4" s="12" t="s">
        <v>21</v>
      </c>
      <c r="U4" s="12" t="s">
        <v>22</v>
      </c>
      <c r="V4" s="13" t="s">
        <v>23</v>
      </c>
      <c r="W4" s="10" t="s">
        <v>24</v>
      </c>
      <c r="X4" s="12" t="s">
        <v>25</v>
      </c>
      <c r="Y4" s="12" t="s">
        <v>26</v>
      </c>
      <c r="Z4" s="13" t="s">
        <v>27</v>
      </c>
      <c r="AA4" s="10" t="s">
        <v>28</v>
      </c>
      <c r="AB4" s="12" t="s">
        <v>29</v>
      </c>
      <c r="AC4" s="12" t="s">
        <v>30</v>
      </c>
      <c r="AD4" s="13" t="s">
        <v>31</v>
      </c>
      <c r="AE4" s="10" t="s">
        <v>32</v>
      </c>
      <c r="AF4" s="12" t="s">
        <v>33</v>
      </c>
      <c r="AG4" s="12" t="s">
        <v>34</v>
      </c>
      <c r="AH4" s="14" t="s">
        <v>35</v>
      </c>
      <c r="AI4" s="15"/>
      <c r="AJ4" s="16"/>
      <c r="AK4" s="10" t="s">
        <v>36</v>
      </c>
      <c r="AL4" s="262" t="s">
        <v>37</v>
      </c>
      <c r="AM4" s="12" t="s">
        <v>38</v>
      </c>
      <c r="AN4" s="10" t="s">
        <v>39</v>
      </c>
      <c r="AO4" s="10"/>
      <c r="AP4" s="10"/>
      <c r="AQ4" s="10" t="s">
        <v>40</v>
      </c>
      <c r="AR4" s="10" t="s">
        <v>41</v>
      </c>
      <c r="AS4" s="10" t="s">
        <v>42</v>
      </c>
      <c r="AT4" s="10" t="s">
        <v>43</v>
      </c>
      <c r="AU4" s="10" t="s">
        <v>44</v>
      </c>
      <c r="AV4" s="262" t="s">
        <v>45</v>
      </c>
      <c r="AW4" s="12" t="s">
        <v>46</v>
      </c>
      <c r="AX4" s="264" t="s">
        <v>47</v>
      </c>
      <c r="AY4" s="265"/>
      <c r="AZ4" s="266"/>
      <c r="BA4" s="10" t="s">
        <v>48</v>
      </c>
      <c r="BB4" s="10" t="s">
        <v>49</v>
      </c>
      <c r="BC4" s="10" t="s">
        <v>50</v>
      </c>
      <c r="BD4" s="10" t="s">
        <v>51</v>
      </c>
      <c r="BE4" s="262" t="s">
        <v>52</v>
      </c>
      <c r="BF4" s="262" t="s">
        <v>53</v>
      </c>
      <c r="BG4" s="264" t="s">
        <v>54</v>
      </c>
      <c r="BH4" s="265"/>
      <c r="BI4" s="266"/>
      <c r="BJ4" s="262" t="s">
        <v>55</v>
      </c>
      <c r="BK4" s="262" t="s">
        <v>56</v>
      </c>
      <c r="BL4" s="262" t="s">
        <v>57</v>
      </c>
      <c r="BM4" s="262" t="s">
        <v>58</v>
      </c>
      <c r="BN4" s="262" t="s">
        <v>59</v>
      </c>
      <c r="BO4" s="262" t="s">
        <v>60</v>
      </c>
      <c r="BP4" s="264" t="s">
        <v>61</v>
      </c>
      <c r="BQ4" s="265"/>
      <c r="BR4" s="265"/>
      <c r="BS4" s="12" t="s">
        <v>62</v>
      </c>
      <c r="BT4" s="12" t="s">
        <v>63</v>
      </c>
      <c r="BU4" s="12" t="s">
        <v>64</v>
      </c>
      <c r="BV4" s="262" t="s">
        <v>65</v>
      </c>
      <c r="BW4" s="12" t="s">
        <v>66</v>
      </c>
      <c r="BX4" s="262" t="s">
        <v>67</v>
      </c>
      <c r="BY4" s="262" t="s">
        <v>68</v>
      </c>
      <c r="BZ4" s="262" t="s">
        <v>69</v>
      </c>
      <c r="CA4" s="262" t="s">
        <v>70</v>
      </c>
      <c r="CB4" s="262" t="s">
        <v>71</v>
      </c>
      <c r="CC4" s="262" t="s">
        <v>68</v>
      </c>
      <c r="CD4" s="262" t="s">
        <v>72</v>
      </c>
      <c r="CE4" s="262" t="s">
        <v>73</v>
      </c>
      <c r="CF4" s="10" t="s">
        <v>74</v>
      </c>
      <c r="CG4" s="10" t="s">
        <v>75</v>
      </c>
      <c r="CH4" s="10" t="s">
        <v>76</v>
      </c>
      <c r="CI4" s="10" t="s">
        <v>77</v>
      </c>
      <c r="CJ4" s="14" t="s">
        <v>74</v>
      </c>
      <c r="CK4" s="14" t="s">
        <v>74</v>
      </c>
    </row>
    <row r="5" spans="1:89" ht="22.5" hidden="1" customHeight="1">
      <c r="A5" s="9"/>
      <c r="B5" s="9"/>
      <c r="C5" s="10"/>
      <c r="D5" s="10" t="s">
        <v>78</v>
      </c>
      <c r="E5" s="10" t="s">
        <v>79</v>
      </c>
      <c r="F5" s="10"/>
      <c r="G5" s="10" t="s">
        <v>78</v>
      </c>
      <c r="H5" s="10" t="s">
        <v>79</v>
      </c>
      <c r="I5" s="10"/>
      <c r="J5" s="10" t="s">
        <v>78</v>
      </c>
      <c r="K5" s="10" t="s">
        <v>79</v>
      </c>
      <c r="L5" s="10"/>
      <c r="M5" s="17"/>
      <c r="N5" s="10" t="s">
        <v>78</v>
      </c>
      <c r="O5" s="10" t="s">
        <v>79</v>
      </c>
      <c r="P5" s="17"/>
      <c r="Q5" s="17"/>
      <c r="R5" s="10" t="s">
        <v>78</v>
      </c>
      <c r="S5" s="10" t="s">
        <v>79</v>
      </c>
      <c r="T5" s="17"/>
      <c r="U5" s="17"/>
      <c r="V5" s="10" t="s">
        <v>78</v>
      </c>
      <c r="W5" s="10" t="s">
        <v>79</v>
      </c>
      <c r="X5" s="17"/>
      <c r="Y5" s="17"/>
      <c r="Z5" s="10" t="s">
        <v>78</v>
      </c>
      <c r="AA5" s="10" t="s">
        <v>79</v>
      </c>
      <c r="AB5" s="17"/>
      <c r="AC5" s="17"/>
      <c r="AD5" s="10" t="s">
        <v>78</v>
      </c>
      <c r="AE5" s="10" t="s">
        <v>79</v>
      </c>
      <c r="AF5" s="17"/>
      <c r="AG5" s="17"/>
      <c r="AH5" s="10" t="s">
        <v>80</v>
      </c>
      <c r="AI5" s="10" t="s">
        <v>81</v>
      </c>
      <c r="AJ5" s="10" t="s">
        <v>82</v>
      </c>
      <c r="AK5" s="10" t="s">
        <v>83</v>
      </c>
      <c r="AL5" s="263"/>
      <c r="AM5" s="17"/>
      <c r="AN5" s="10" t="s">
        <v>84</v>
      </c>
      <c r="AO5" s="10" t="s">
        <v>85</v>
      </c>
      <c r="AP5" s="10" t="s">
        <v>86</v>
      </c>
      <c r="AQ5" s="10" t="s">
        <v>84</v>
      </c>
      <c r="AR5" s="10" t="s">
        <v>84</v>
      </c>
      <c r="AS5" s="10">
        <v>2021</v>
      </c>
      <c r="AT5" s="10" t="s">
        <v>84</v>
      </c>
      <c r="AU5" s="17" t="s">
        <v>84</v>
      </c>
      <c r="AV5" s="263"/>
      <c r="AW5" s="17"/>
      <c r="AX5" s="10" t="s">
        <v>85</v>
      </c>
      <c r="AY5" s="10" t="s">
        <v>86</v>
      </c>
      <c r="AZ5" s="10" t="s">
        <v>87</v>
      </c>
      <c r="BA5" s="10" t="s">
        <v>85</v>
      </c>
      <c r="BB5" s="10" t="s">
        <v>85</v>
      </c>
      <c r="BC5" s="10" t="s">
        <v>85</v>
      </c>
      <c r="BD5" s="10" t="s">
        <v>85</v>
      </c>
      <c r="BE5" s="263"/>
      <c r="BF5" s="263"/>
      <c r="BG5" s="10">
        <v>2023</v>
      </c>
      <c r="BH5" s="17" t="s">
        <v>87</v>
      </c>
      <c r="BI5" s="17" t="s">
        <v>88</v>
      </c>
      <c r="BJ5" s="263"/>
      <c r="BK5" s="263"/>
      <c r="BL5" s="263" t="s">
        <v>86</v>
      </c>
      <c r="BM5" s="263"/>
      <c r="BN5" s="263"/>
      <c r="BO5" s="263"/>
      <c r="BP5" s="10" t="s">
        <v>87</v>
      </c>
      <c r="BQ5" s="17" t="s">
        <v>88</v>
      </c>
      <c r="BR5" s="17" t="s">
        <v>89</v>
      </c>
      <c r="BS5" s="17" t="s">
        <v>87</v>
      </c>
      <c r="BT5" s="17" t="s">
        <v>87</v>
      </c>
      <c r="BU5" s="17" t="s">
        <v>87</v>
      </c>
      <c r="BV5" s="263"/>
      <c r="BW5" s="17" t="s">
        <v>87</v>
      </c>
      <c r="BX5" s="263"/>
      <c r="BY5" s="263"/>
      <c r="BZ5" s="263"/>
      <c r="CA5" s="263"/>
      <c r="CB5" s="263"/>
      <c r="CC5" s="263"/>
      <c r="CD5" s="263"/>
      <c r="CE5" s="263"/>
      <c r="CF5" s="10" t="s">
        <v>88</v>
      </c>
      <c r="CG5" s="17">
        <v>2025</v>
      </c>
      <c r="CH5" s="17"/>
      <c r="CI5" s="17"/>
      <c r="CJ5" s="17" t="s">
        <v>89</v>
      </c>
      <c r="CK5" s="17" t="s">
        <v>90</v>
      </c>
    </row>
    <row r="6" spans="1:89" ht="22.5" customHeight="1">
      <c r="A6" s="18" t="s">
        <v>91</v>
      </c>
      <c r="B6" s="19" t="s">
        <v>92</v>
      </c>
      <c r="C6" s="20">
        <f t="shared" ref="C6:U6" si="0">C9+C22+C39+C34+C50+C46+C55+C65+C21</f>
        <v>16140.906929999997</v>
      </c>
      <c r="D6" s="20">
        <f t="shared" si="0"/>
        <v>13373</v>
      </c>
      <c r="E6" s="20">
        <f t="shared" si="0"/>
        <v>14647.999999999998</v>
      </c>
      <c r="F6" s="20">
        <f t="shared" si="0"/>
        <v>13763.941449999998</v>
      </c>
      <c r="G6" s="20">
        <f t="shared" si="0"/>
        <v>15260.5</v>
      </c>
      <c r="H6" s="20">
        <f t="shared" si="0"/>
        <v>15260.5</v>
      </c>
      <c r="I6" s="20">
        <f t="shared" si="0"/>
        <v>14448.493809999998</v>
      </c>
      <c r="J6" s="20">
        <f t="shared" si="0"/>
        <v>14576.5</v>
      </c>
      <c r="K6" s="20">
        <f t="shared" si="0"/>
        <v>14576.5</v>
      </c>
      <c r="L6" s="20">
        <f t="shared" si="0"/>
        <v>13989.008970000001</v>
      </c>
      <c r="M6" s="20">
        <f t="shared" si="0"/>
        <v>13980.341</v>
      </c>
      <c r="N6" s="20">
        <f t="shared" si="0"/>
        <v>15159.000000000002</v>
      </c>
      <c r="O6" s="20">
        <f t="shared" si="0"/>
        <v>14260.000000000002</v>
      </c>
      <c r="P6" s="20">
        <f t="shared" si="0"/>
        <v>13170.845810000001</v>
      </c>
      <c r="Q6" s="20">
        <f t="shared" si="0"/>
        <v>-30730.023000000001</v>
      </c>
      <c r="R6" s="20">
        <f t="shared" si="0"/>
        <v>13650</v>
      </c>
      <c r="S6" s="20">
        <f t="shared" si="0"/>
        <v>15389.800000000003</v>
      </c>
      <c r="T6" s="20">
        <f t="shared" si="0"/>
        <v>15451.032220000003</v>
      </c>
      <c r="U6" s="20">
        <f t="shared" si="0"/>
        <v>6904.7130200000001</v>
      </c>
      <c r="V6" s="20">
        <f t="shared" ref="V6:AV6" si="1">V9+V22+V39+V34+V50+V46+V55+V65+V21+V16</f>
        <v>18757.00201</v>
      </c>
      <c r="W6" s="20">
        <f t="shared" si="1"/>
        <v>19092.8</v>
      </c>
      <c r="X6" s="20">
        <f t="shared" si="1"/>
        <v>19252.400850000002</v>
      </c>
      <c r="Y6" s="20">
        <f t="shared" si="1"/>
        <v>19213.899510000003</v>
      </c>
      <c r="Z6" s="20">
        <f t="shared" si="1"/>
        <v>18388.702010000001</v>
      </c>
      <c r="AA6" s="20">
        <f t="shared" si="1"/>
        <v>20530.299999999996</v>
      </c>
      <c r="AB6" s="20">
        <f t="shared" si="1"/>
        <v>21906.476149999999</v>
      </c>
      <c r="AC6" s="20">
        <f t="shared" si="1"/>
        <v>24106.204109999995</v>
      </c>
      <c r="AD6" s="20">
        <f t="shared" si="1"/>
        <v>20058.202010000001</v>
      </c>
      <c r="AE6" s="20">
        <f t="shared" si="1"/>
        <v>22064.3</v>
      </c>
      <c r="AF6" s="20">
        <f t="shared" si="1"/>
        <v>22574.922399999996</v>
      </c>
      <c r="AG6" s="20">
        <f t="shared" si="1"/>
        <v>-9423.7916100000002</v>
      </c>
      <c r="AH6" s="20">
        <f t="shared" si="1"/>
        <v>21387.702010000001</v>
      </c>
      <c r="AI6" s="20">
        <f t="shared" si="1"/>
        <v>21279.802009999999</v>
      </c>
      <c r="AJ6" s="20">
        <f t="shared" si="1"/>
        <v>21315.802009999999</v>
      </c>
      <c r="AK6" s="20">
        <f t="shared" si="1"/>
        <v>22569.599999999999</v>
      </c>
      <c r="AL6" s="20">
        <f t="shared" si="1"/>
        <v>22645.173790000001</v>
      </c>
      <c r="AM6" s="20">
        <f t="shared" si="1"/>
        <v>102171.19170999998</v>
      </c>
      <c r="AN6" s="20">
        <f t="shared" si="1"/>
        <v>22876.902010000002</v>
      </c>
      <c r="AO6" s="20">
        <f t="shared" si="1"/>
        <v>22882.902010000002</v>
      </c>
      <c r="AP6" s="20">
        <f t="shared" si="1"/>
        <v>22888.902010000002</v>
      </c>
      <c r="AQ6" s="20">
        <f t="shared" si="1"/>
        <v>23425.4</v>
      </c>
      <c r="AR6" s="20">
        <f t="shared" si="1"/>
        <v>23557</v>
      </c>
      <c r="AS6" s="20">
        <f t="shared" si="1"/>
        <v>24317.599999999999</v>
      </c>
      <c r="AT6" s="20">
        <f t="shared" si="1"/>
        <v>24979.200000000004</v>
      </c>
      <c r="AU6" s="20">
        <f t="shared" si="1"/>
        <v>25993.500000000004</v>
      </c>
      <c r="AV6" s="20">
        <f t="shared" si="1"/>
        <v>27404.584459999998</v>
      </c>
      <c r="AW6" s="20">
        <f>AW9+AW22+AW39+AW34+AW50+AW46+AW55+AW65+AW21+AW16+AW25+AW33</f>
        <v>19186.837650000001</v>
      </c>
      <c r="AX6" s="20">
        <f t="shared" ref="AX6:BE6" si="2">AX9+AX22+AX39+AX34+AX50+AX46+AX55+AX65+AX21+AX16</f>
        <v>24879.802009999999</v>
      </c>
      <c r="AY6" s="20">
        <f t="shared" si="2"/>
        <v>25334.202010000001</v>
      </c>
      <c r="AZ6" s="20">
        <f t="shared" si="2"/>
        <v>25394.202010000001</v>
      </c>
      <c r="BA6" s="20">
        <f t="shared" si="2"/>
        <v>25996.5</v>
      </c>
      <c r="BB6" s="20">
        <f t="shared" si="2"/>
        <v>27014.6</v>
      </c>
      <c r="BC6" s="20">
        <f t="shared" si="2"/>
        <v>29163.299999999996</v>
      </c>
      <c r="BD6" s="20">
        <f t="shared" si="2"/>
        <v>30611.4</v>
      </c>
      <c r="BE6" s="20">
        <f t="shared" si="2"/>
        <v>31637.545190000004</v>
      </c>
      <c r="BF6" s="20">
        <f>BF9+BF22+BF39+BF34+BF50+BF46+BF55+BF65+BF21+BF16+BF25+BF33+BF45+BF51</f>
        <v>5662.0245500000055</v>
      </c>
      <c r="BG6" s="20">
        <f t="shared" ref="BG6:BN6" si="3">BG9+BG22+BG39+BG34+BG50+BG46+BG55+BG65+BG21+BG16</f>
        <v>27003.50201</v>
      </c>
      <c r="BH6" s="20">
        <f t="shared" si="3"/>
        <v>27454.402009999998</v>
      </c>
      <c r="BI6" s="20">
        <f t="shared" si="3"/>
        <v>27730.202010000001</v>
      </c>
      <c r="BJ6" s="21">
        <f t="shared" si="3"/>
        <v>27512.100000000002</v>
      </c>
      <c r="BK6" s="22">
        <f t="shared" si="3"/>
        <v>28017.800000000003</v>
      </c>
      <c r="BL6" s="20">
        <f t="shared" si="3"/>
        <v>31835.3</v>
      </c>
      <c r="BM6" s="20">
        <f t="shared" si="3"/>
        <v>33508.602010000002</v>
      </c>
      <c r="BN6" s="20">
        <f t="shared" si="3"/>
        <v>34435.142929999995</v>
      </c>
      <c r="BO6" s="20">
        <f>BO9+BO22+BO39+BO34+BO50+BO46+BO55+BO65+BO21+BO16+BO25+BO33+BO45</f>
        <v>27508.822709999997</v>
      </c>
      <c r="BP6" s="20">
        <f t="shared" ref="BP6:BW6" si="4">BP9+BP22+BP39+BP34+BP50+BP46+BP55+BP65+BP21+BP16</f>
        <v>32190.702010000001</v>
      </c>
      <c r="BQ6" s="20">
        <f t="shared" si="4"/>
        <v>32968.602010000002</v>
      </c>
      <c r="BR6" s="20">
        <f t="shared" si="4"/>
        <v>33527.702010000001</v>
      </c>
      <c r="BS6" s="23">
        <f t="shared" si="4"/>
        <v>32190.699999999997</v>
      </c>
      <c r="BT6" s="20">
        <f t="shared" si="4"/>
        <v>32496.299999999996</v>
      </c>
      <c r="BU6" s="20">
        <f t="shared" si="4"/>
        <v>33884.299999999996</v>
      </c>
      <c r="BV6" s="20">
        <f t="shared" si="4"/>
        <v>24578.6</v>
      </c>
      <c r="BW6" s="20">
        <f t="shared" si="4"/>
        <v>33938.9</v>
      </c>
      <c r="BX6" s="24">
        <f>BW6-BP6</f>
        <v>1748.1979900000006</v>
      </c>
      <c r="BY6" s="25">
        <f>BW6/BP6*100</f>
        <v>105.43075447518019</v>
      </c>
      <c r="BZ6" s="20">
        <f>BZ9+BZ22+BZ39+BZ34+BZ50+BZ46+BZ55+BZ65+BZ21+BZ16</f>
        <v>35474.699999999997</v>
      </c>
      <c r="CA6" s="20">
        <f>CA9+CA22+CA39+CA34+CA50+CA46+CA55+CA65+CA21+CA16</f>
        <v>37671.009319999997</v>
      </c>
      <c r="CB6" s="20">
        <f>CB9+CB22+CB39+CB34+CB50+CB46+CB55+CB65+CB21+CB16+CB25+CB33+CB45+CB31</f>
        <v>25721.732690000004</v>
      </c>
      <c r="CC6" s="28">
        <f>CA6/BP6*100</f>
        <v>117.0245038716383</v>
      </c>
      <c r="CD6" s="28">
        <f>CA6/BW6*100</f>
        <v>110.99655357127072</v>
      </c>
      <c r="CE6" s="28">
        <f>CA6/BN6*100</f>
        <v>109.39698840971242</v>
      </c>
      <c r="CF6" s="20">
        <f>CF9+CF22+CF39+CF34+CF50+CF46+CF55+CF65+CF21+CF16</f>
        <v>33588.102010000002</v>
      </c>
      <c r="CG6" s="20">
        <f>CG9+CG22+CG39+CG34+CG50+CG46+CG55+CG65+CG21+CG16</f>
        <v>33588.102010000002</v>
      </c>
      <c r="CH6" s="20">
        <f>CG6-CF6</f>
        <v>0</v>
      </c>
      <c r="CI6" s="20">
        <f>CG6/CF6*100</f>
        <v>100</v>
      </c>
      <c r="CJ6" s="20">
        <f>CJ9+CJ22+CJ39+CJ34+CJ50+CJ46+CJ55+CJ65+CJ21+CJ16</f>
        <v>34008.702010000001</v>
      </c>
      <c r="CK6" s="20">
        <f>CK9+CK22+CK39+CK34+CK50+CK46+CK55+CK65+CK21+CK16</f>
        <v>35847.202010000001</v>
      </c>
    </row>
    <row r="7" spans="1:89" s="26" customFormat="1" ht="22.5" customHeight="1">
      <c r="A7" s="18"/>
      <c r="B7" s="19" t="s">
        <v>93</v>
      </c>
      <c r="C7" s="20">
        <f t="shared" ref="C7:U7" si="5">C9+C22+C34+C21</f>
        <v>11860.579899999999</v>
      </c>
      <c r="D7" s="20">
        <f t="shared" si="5"/>
        <v>11515</v>
      </c>
      <c r="E7" s="20">
        <f t="shared" si="5"/>
        <v>13246.999999999998</v>
      </c>
      <c r="F7" s="20">
        <f t="shared" si="5"/>
        <v>12462.593279999999</v>
      </c>
      <c r="G7" s="20">
        <f t="shared" si="5"/>
        <v>14150.5</v>
      </c>
      <c r="H7" s="20">
        <f t="shared" si="5"/>
        <v>14225.8</v>
      </c>
      <c r="I7" s="20">
        <f t="shared" si="5"/>
        <v>13489.69479</v>
      </c>
      <c r="J7" s="20">
        <f t="shared" si="5"/>
        <v>13635</v>
      </c>
      <c r="K7" s="20">
        <f t="shared" si="5"/>
        <v>13348</v>
      </c>
      <c r="L7" s="20">
        <f t="shared" si="5"/>
        <v>12802.795040000001</v>
      </c>
      <c r="M7" s="20">
        <f t="shared" si="5"/>
        <v>12794.12707</v>
      </c>
      <c r="N7" s="20">
        <f t="shared" si="5"/>
        <v>13790.400000000001</v>
      </c>
      <c r="O7" s="20">
        <f t="shared" si="5"/>
        <v>13790.400000000001</v>
      </c>
      <c r="P7" s="20">
        <f t="shared" si="5"/>
        <v>12953.173269999999</v>
      </c>
      <c r="Q7" s="20">
        <f t="shared" si="5"/>
        <v>12953.173269999999</v>
      </c>
      <c r="R7" s="20">
        <f t="shared" si="5"/>
        <v>13505</v>
      </c>
      <c r="S7" s="20">
        <f t="shared" si="5"/>
        <v>14713.300000000003</v>
      </c>
      <c r="T7" s="20">
        <f t="shared" si="5"/>
        <v>14774.520500000001</v>
      </c>
      <c r="U7" s="20">
        <f t="shared" si="5"/>
        <v>14774.520499999999</v>
      </c>
      <c r="V7" s="20">
        <f t="shared" ref="V7:BV7" si="6">V9+V22+V34+V21+V16</f>
        <v>18601.00201</v>
      </c>
      <c r="W7" s="20">
        <f t="shared" si="6"/>
        <v>18735</v>
      </c>
      <c r="X7" s="20">
        <f t="shared" si="6"/>
        <v>18865.061850000002</v>
      </c>
      <c r="Y7" s="20">
        <f t="shared" si="6"/>
        <v>18856.844500000003</v>
      </c>
      <c r="Z7" s="20">
        <f t="shared" si="6"/>
        <v>18228.702010000001</v>
      </c>
      <c r="AA7" s="20">
        <f t="shared" si="6"/>
        <v>19445.899999999998</v>
      </c>
      <c r="AB7" s="20">
        <f t="shared" si="6"/>
        <v>20764.875219999998</v>
      </c>
      <c r="AC7" s="20">
        <f t="shared" si="6"/>
        <v>20874.892319999995</v>
      </c>
      <c r="AD7" s="20">
        <f t="shared" si="6"/>
        <v>19891.402010000002</v>
      </c>
      <c r="AE7" s="20">
        <f t="shared" si="6"/>
        <v>20881.400000000001</v>
      </c>
      <c r="AF7" s="20">
        <f t="shared" si="6"/>
        <v>21343.609350000002</v>
      </c>
      <c r="AG7" s="20">
        <f t="shared" si="6"/>
        <v>21537.677310000003</v>
      </c>
      <c r="AH7" s="20">
        <f t="shared" si="6"/>
        <v>20533.702010000001</v>
      </c>
      <c r="AI7" s="20">
        <f t="shared" si="6"/>
        <v>21120.302009999999</v>
      </c>
      <c r="AJ7" s="20">
        <f t="shared" si="6"/>
        <v>21156.302009999999</v>
      </c>
      <c r="AK7" s="20">
        <f t="shared" si="6"/>
        <v>20107.099999999999</v>
      </c>
      <c r="AL7" s="20">
        <f t="shared" si="6"/>
        <v>20810.85872</v>
      </c>
      <c r="AM7" s="20">
        <f t="shared" si="6"/>
        <v>21172.422160000002</v>
      </c>
      <c r="AN7" s="20">
        <f t="shared" si="6"/>
        <v>22620.602010000002</v>
      </c>
      <c r="AO7" s="20">
        <f t="shared" si="6"/>
        <v>22623.602010000002</v>
      </c>
      <c r="AP7" s="20">
        <f t="shared" si="6"/>
        <v>22626.602010000002</v>
      </c>
      <c r="AQ7" s="20">
        <f t="shared" si="6"/>
        <v>22620.6</v>
      </c>
      <c r="AR7" s="20">
        <f t="shared" si="6"/>
        <v>22713.200000000001</v>
      </c>
      <c r="AS7" s="20">
        <f t="shared" si="6"/>
        <v>23073.800000000003</v>
      </c>
      <c r="AT7" s="20">
        <f t="shared" si="6"/>
        <v>23125.4</v>
      </c>
      <c r="AU7" s="20">
        <f t="shared" si="6"/>
        <v>24201.000000000004</v>
      </c>
      <c r="AV7" s="20">
        <f t="shared" si="6"/>
        <v>25411.561829999999</v>
      </c>
      <c r="AW7" s="20">
        <f t="shared" si="6"/>
        <v>25288.276830000003</v>
      </c>
      <c r="AX7" s="20">
        <f t="shared" si="6"/>
        <v>24073.902009999998</v>
      </c>
      <c r="AY7" s="20">
        <f t="shared" si="6"/>
        <v>24528.302009999999</v>
      </c>
      <c r="AZ7" s="20">
        <f t="shared" si="6"/>
        <v>24588.302009999999</v>
      </c>
      <c r="BA7" s="20">
        <f t="shared" si="6"/>
        <v>24690.6</v>
      </c>
      <c r="BB7" s="20">
        <f t="shared" si="6"/>
        <v>24690.6</v>
      </c>
      <c r="BC7" s="20">
        <f t="shared" si="6"/>
        <v>26539.199999999997</v>
      </c>
      <c r="BD7" s="20">
        <f t="shared" si="6"/>
        <v>28052.6</v>
      </c>
      <c r="BE7" s="20">
        <f t="shared" si="6"/>
        <v>29556.107889999999</v>
      </c>
      <c r="BF7" s="20">
        <f t="shared" si="6"/>
        <v>29654.370139999999</v>
      </c>
      <c r="BG7" s="20">
        <f t="shared" si="6"/>
        <v>25313.402010000002</v>
      </c>
      <c r="BH7" s="20">
        <f t="shared" si="6"/>
        <v>25667.102009999999</v>
      </c>
      <c r="BI7" s="20">
        <f t="shared" si="6"/>
        <v>25930.702010000001</v>
      </c>
      <c r="BJ7" s="21">
        <f t="shared" si="6"/>
        <v>25313.4</v>
      </c>
      <c r="BK7" s="22">
        <f t="shared" si="6"/>
        <v>25313.4</v>
      </c>
      <c r="BL7" s="20">
        <f t="shared" si="6"/>
        <v>29091.499999999996</v>
      </c>
      <c r="BM7" s="20">
        <f t="shared" si="6"/>
        <v>30773.00201</v>
      </c>
      <c r="BN7" s="20">
        <f t="shared" si="6"/>
        <v>31555.816070000001</v>
      </c>
      <c r="BO7" s="20">
        <f>BO9+BO22+BO34+BO21+BO16</f>
        <v>32136.48934</v>
      </c>
      <c r="BP7" s="20">
        <f t="shared" si="6"/>
        <v>30090.602010000002</v>
      </c>
      <c r="BQ7" s="20">
        <f t="shared" si="6"/>
        <v>30844.102010000002</v>
      </c>
      <c r="BR7" s="20">
        <f t="shared" si="6"/>
        <v>31393.202010000001</v>
      </c>
      <c r="BS7" s="23">
        <f t="shared" si="6"/>
        <v>30090.6</v>
      </c>
      <c r="BT7" s="20">
        <f t="shared" si="6"/>
        <v>30107.599999999999</v>
      </c>
      <c r="BU7" s="20">
        <f t="shared" si="6"/>
        <v>30320.6</v>
      </c>
      <c r="BV7" s="20">
        <f t="shared" si="6"/>
        <v>22838.1</v>
      </c>
      <c r="BW7" s="20">
        <f>BW9+BW22+BW34+BW21+BW16</f>
        <v>30888.800000000003</v>
      </c>
      <c r="BX7" s="24">
        <f t="shared" ref="BX7:BX71" si="7">BW7-BP7</f>
        <v>798.19799000000057</v>
      </c>
      <c r="BY7" s="25">
        <f t="shared" ref="BY7:BY71" si="8">BW7/BP7*100</f>
        <v>102.65264878959461</v>
      </c>
      <c r="BZ7" s="20">
        <f>BZ9+BZ22+BZ34+BZ21+BZ16</f>
        <v>32423.200000000001</v>
      </c>
      <c r="CA7" s="20">
        <f>CA9+CA22+CA34+CA21+CA16</f>
        <v>33397.89903</v>
      </c>
      <c r="CB7" s="20">
        <f>CB9+CB22+CB34+CB21+CB16</f>
        <v>33265.319900000002</v>
      </c>
      <c r="CC7" s="28">
        <f t="shared" ref="CC7:CC69" si="9">CA7/BP7*100</f>
        <v>110.99112945264733</v>
      </c>
      <c r="CD7" s="28">
        <f t="shared" ref="CD7:CD69" si="10">CA7/BW7*100</f>
        <v>108.12300584677941</v>
      </c>
      <c r="CE7" s="28">
        <f t="shared" ref="CE7:CE69" si="11">CA7/BN7*100</f>
        <v>105.83753865187235</v>
      </c>
      <c r="CF7" s="20">
        <f>CF9+CF22+CF34+CF21+CF16</f>
        <v>31288.202010000001</v>
      </c>
      <c r="CG7" s="20">
        <f>CG9+CG22+CG34+CG21+CG16</f>
        <v>31288.202010000001</v>
      </c>
      <c r="CH7" s="20">
        <f t="shared" ref="CH7:CH71" si="12">CG7-CF7</f>
        <v>0</v>
      </c>
      <c r="CI7" s="20">
        <f t="shared" ref="CI7:CI71" si="13">CG7/CF7*100</f>
        <v>100</v>
      </c>
      <c r="CJ7" s="20">
        <f>CJ9+CJ22+CJ34+CJ21+CJ16</f>
        <v>31653.902009999998</v>
      </c>
      <c r="CK7" s="20">
        <f>CK9+CK22+CK34+CK21+CK16</f>
        <v>33447.002010000004</v>
      </c>
    </row>
    <row r="8" spans="1:89" s="26" customFormat="1" ht="17.25" customHeight="1">
      <c r="A8" s="18"/>
      <c r="B8" s="19" t="s">
        <v>94</v>
      </c>
      <c r="C8" s="20">
        <f t="shared" ref="C8:BN8" si="14">C7/C127*100</f>
        <v>24.939177282591523</v>
      </c>
      <c r="D8" s="20">
        <f t="shared" si="14"/>
        <v>29.465501182202473</v>
      </c>
      <c r="E8" s="20">
        <f t="shared" si="14"/>
        <v>20.245352830329971</v>
      </c>
      <c r="F8" s="20">
        <f t="shared" si="14"/>
        <v>20.326166202182382</v>
      </c>
      <c r="G8" s="20">
        <f t="shared" si="14"/>
        <v>32.826531251377389</v>
      </c>
      <c r="H8" s="20">
        <f t="shared" si="14"/>
        <v>26.772332233016282</v>
      </c>
      <c r="I8" s="20">
        <f t="shared" si="14"/>
        <v>25.781995452516153</v>
      </c>
      <c r="J8" s="20">
        <f t="shared" si="14"/>
        <v>31.399397573714317</v>
      </c>
      <c r="K8" s="20">
        <f t="shared" si="14"/>
        <v>26.246141140845904</v>
      </c>
      <c r="L8" s="20">
        <f t="shared" si="14"/>
        <v>25.474646479096819</v>
      </c>
      <c r="M8" s="20">
        <f t="shared" si="14"/>
        <v>8.1822621397524475</v>
      </c>
      <c r="N8" s="20">
        <f t="shared" si="14"/>
        <v>31.136388780387581</v>
      </c>
      <c r="O8" s="20">
        <f t="shared" si="14"/>
        <v>24.274214983392273</v>
      </c>
      <c r="P8" s="20">
        <f t="shared" si="14"/>
        <v>23.410612869551883</v>
      </c>
      <c r="Q8" s="20">
        <f t="shared" si="14"/>
        <v>7.9227147577208186</v>
      </c>
      <c r="R8" s="20">
        <f t="shared" si="14"/>
        <v>24.588343249994537</v>
      </c>
      <c r="S8" s="20">
        <f t="shared" si="14"/>
        <v>24.856066493225669</v>
      </c>
      <c r="T8" s="20">
        <f t="shared" si="14"/>
        <v>24.933728046028687</v>
      </c>
      <c r="U8" s="20">
        <f t="shared" si="14"/>
        <v>11.795901200205297</v>
      </c>
      <c r="V8" s="20">
        <f t="shared" si="14"/>
        <v>38.430788506798685</v>
      </c>
      <c r="W8" s="20">
        <f t="shared" si="14"/>
        <v>24.72350190886285</v>
      </c>
      <c r="X8" s="20">
        <f t="shared" si="14"/>
        <v>24.870448390332978</v>
      </c>
      <c r="Y8" s="20">
        <f t="shared" si="14"/>
        <v>8.7591774172462387</v>
      </c>
      <c r="Z8" s="20">
        <f t="shared" si="14"/>
        <v>38.475276842579817</v>
      </c>
      <c r="AA8" s="20">
        <f t="shared" si="14"/>
        <v>33.504053380711788</v>
      </c>
      <c r="AB8" s="20">
        <f t="shared" si="14"/>
        <v>34.947920567624813</v>
      </c>
      <c r="AC8" s="20">
        <f t="shared" si="14"/>
        <v>8.8962655884820929</v>
      </c>
      <c r="AD8" s="20">
        <f t="shared" si="14"/>
        <v>40.063971360435893</v>
      </c>
      <c r="AE8" s="20">
        <f t="shared" si="14"/>
        <v>34.171750628403856</v>
      </c>
      <c r="AF8" s="20">
        <f t="shared" si="14"/>
        <v>34.638663982725888</v>
      </c>
      <c r="AG8" s="20">
        <f t="shared" si="14"/>
        <v>24.132105243444173</v>
      </c>
      <c r="AH8" s="20">
        <f t="shared" si="14"/>
        <v>37.877090886179793</v>
      </c>
      <c r="AI8" s="20">
        <f t="shared" si="14"/>
        <v>39.622505738029247</v>
      </c>
      <c r="AJ8" s="20">
        <f t="shared" si="14"/>
        <v>39.680291263044445</v>
      </c>
      <c r="AK8" s="20">
        <f t="shared" si="14"/>
        <v>19.926585065888119</v>
      </c>
      <c r="AL8" s="20">
        <f t="shared" si="14"/>
        <v>20.608588231338274</v>
      </c>
      <c r="AM8" s="20">
        <f t="shared" si="14"/>
        <v>7.9034501964687029</v>
      </c>
      <c r="AN8" s="20">
        <f t="shared" si="14"/>
        <v>43.528780062484891</v>
      </c>
      <c r="AO8" s="20">
        <f t="shared" si="14"/>
        <v>43.52952712957979</v>
      </c>
      <c r="AP8" s="20">
        <f t="shared" si="14"/>
        <v>43.53027402420495</v>
      </c>
      <c r="AQ8" s="20">
        <f t="shared" si="14"/>
        <v>33.891890434110337</v>
      </c>
      <c r="AR8" s="20">
        <f t="shared" si="14"/>
        <v>31.989160990834165</v>
      </c>
      <c r="AS8" s="20">
        <f t="shared" si="14"/>
        <v>35.105992900841528</v>
      </c>
      <c r="AT8" s="20">
        <f t="shared" si="14"/>
        <v>33.509050547437852</v>
      </c>
      <c r="AU8" s="20">
        <f t="shared" si="14"/>
        <v>31.737476345410126</v>
      </c>
      <c r="AV8" s="20">
        <f t="shared" si="14"/>
        <v>32.799415545536768</v>
      </c>
      <c r="AW8" s="20">
        <f t="shared" si="14"/>
        <v>23.568074818744684</v>
      </c>
      <c r="AX8" s="20">
        <f t="shared" si="14"/>
        <v>36.317900269451449</v>
      </c>
      <c r="AY8" s="20">
        <f t="shared" si="14"/>
        <v>48.150978481058907</v>
      </c>
      <c r="AZ8" s="20">
        <f t="shared" si="14"/>
        <v>48.2533229979732</v>
      </c>
      <c r="BA8" s="20">
        <f t="shared" si="14"/>
        <v>34.676542710518994</v>
      </c>
      <c r="BB8" s="20">
        <f t="shared" si="14"/>
        <v>31.743946104743475</v>
      </c>
      <c r="BC8" s="20">
        <f t="shared" si="14"/>
        <v>39.542638500254782</v>
      </c>
      <c r="BD8" s="20">
        <f t="shared" si="14"/>
        <v>30.25132694501778</v>
      </c>
      <c r="BE8" s="20">
        <f t="shared" si="14"/>
        <v>31.52535711510669</v>
      </c>
      <c r="BF8" s="20">
        <f t="shared" si="14"/>
        <v>22.460579850255321</v>
      </c>
      <c r="BG8" s="20">
        <f t="shared" si="14"/>
        <v>38.902517378619869</v>
      </c>
      <c r="BH8" s="20">
        <f t="shared" si="14"/>
        <v>44.606165128213462</v>
      </c>
      <c r="BI8" s="20">
        <f t="shared" si="14"/>
        <v>45.045402217965588</v>
      </c>
      <c r="BJ8" s="21">
        <f t="shared" si="14"/>
        <v>37.578494508724582</v>
      </c>
      <c r="BK8" s="22">
        <f t="shared" si="14"/>
        <v>28.922989031078611</v>
      </c>
      <c r="BL8" s="20">
        <f t="shared" si="14"/>
        <v>28.042405565393075</v>
      </c>
      <c r="BM8" s="20">
        <f t="shared" si="14"/>
        <v>30.082105684102885</v>
      </c>
      <c r="BN8" s="20">
        <f t="shared" si="14"/>
        <v>29.674200000973084</v>
      </c>
      <c r="BO8" s="20">
        <f t="shared" ref="BO8:BV8" si="15">BO7/BO127*100</f>
        <v>28.186544189076447</v>
      </c>
      <c r="BP8" s="20">
        <f t="shared" si="15"/>
        <v>41.650830955289997</v>
      </c>
      <c r="BQ8" s="20">
        <f t="shared" si="15"/>
        <v>49.649171596935247</v>
      </c>
      <c r="BR8" s="20">
        <f t="shared" si="15"/>
        <v>50.471708814073814</v>
      </c>
      <c r="BS8" s="23">
        <f t="shared" si="15"/>
        <v>41.132045037939427</v>
      </c>
      <c r="BT8" s="20">
        <f t="shared" si="15"/>
        <v>29.301714934165645</v>
      </c>
      <c r="BU8" s="20">
        <f t="shared" si="15"/>
        <v>28.967111705557809</v>
      </c>
      <c r="BV8" s="20">
        <f t="shared" si="15"/>
        <v>35.678677716937067</v>
      </c>
      <c r="BW8" s="20">
        <f>BW7/BW127*100</f>
        <v>28.602170849283205</v>
      </c>
      <c r="BX8" s="24"/>
      <c r="BY8" s="25"/>
      <c r="BZ8" s="20">
        <f>BZ7/BZ127*100</f>
        <v>30.512248395253661</v>
      </c>
      <c r="CA8" s="20">
        <f>CA7/CA127*100</f>
        <v>31.250674404374262</v>
      </c>
      <c r="CB8" s="20">
        <f>CB7/CB127*100</f>
        <v>26.049493413360718</v>
      </c>
      <c r="CC8" s="28"/>
      <c r="CD8" s="28"/>
      <c r="CE8" s="28"/>
      <c r="CF8" s="20">
        <f>CF7/CF127*100</f>
        <v>44.55942326388498</v>
      </c>
      <c r="CG8" s="20">
        <f>CG7/CG127*100</f>
        <v>39.899869936050194</v>
      </c>
      <c r="CH8" s="20">
        <f t="shared" si="12"/>
        <v>-4.6595533278347858</v>
      </c>
      <c r="CI8" s="20">
        <f t="shared" si="13"/>
        <v>89.543057368044273</v>
      </c>
      <c r="CJ8" s="20">
        <f>CJ7/CJ127*100</f>
        <v>46.122139516403749</v>
      </c>
      <c r="CK8" s="20">
        <f>CK7/CK127*100</f>
        <v>47.681707188961511</v>
      </c>
    </row>
    <row r="9" spans="1:89" ht="22.5" customHeight="1">
      <c r="A9" s="18" t="s">
        <v>95</v>
      </c>
      <c r="B9" s="19" t="s">
        <v>96</v>
      </c>
      <c r="C9" s="20">
        <f>C10+C12+C11</f>
        <v>11474.610049999999</v>
      </c>
      <c r="D9" s="20">
        <f>D10+D12+D11</f>
        <v>10703</v>
      </c>
      <c r="E9" s="20">
        <f>E10+E12+E11+E14</f>
        <v>12408.699999999999</v>
      </c>
      <c r="F9" s="20">
        <f t="shared" ref="F9:AP9" si="16">F10+F12+F11</f>
        <v>11923.26987</v>
      </c>
      <c r="G9" s="20">
        <f t="shared" si="16"/>
        <v>13398.5</v>
      </c>
      <c r="H9" s="20">
        <f t="shared" si="16"/>
        <v>13312.2</v>
      </c>
      <c r="I9" s="20">
        <f t="shared" si="16"/>
        <v>12556.57315</v>
      </c>
      <c r="J9" s="20">
        <f t="shared" si="16"/>
        <v>13125</v>
      </c>
      <c r="K9" s="20">
        <f t="shared" si="16"/>
        <v>12653.5</v>
      </c>
      <c r="L9" s="20">
        <f t="shared" si="16"/>
        <v>12123.741840000001</v>
      </c>
      <c r="M9" s="20">
        <f t="shared" si="16"/>
        <v>12123.741840000001</v>
      </c>
      <c r="N9" s="20">
        <f t="shared" si="16"/>
        <v>12839.7</v>
      </c>
      <c r="O9" s="20">
        <f t="shared" si="16"/>
        <v>12839.7</v>
      </c>
      <c r="P9" s="20">
        <f t="shared" si="16"/>
        <v>12038.29413</v>
      </c>
      <c r="Q9" s="20">
        <f t="shared" si="16"/>
        <v>12038.29413</v>
      </c>
      <c r="R9" s="20">
        <f t="shared" si="16"/>
        <v>12800</v>
      </c>
      <c r="S9" s="20">
        <f t="shared" si="16"/>
        <v>13315.900000000001</v>
      </c>
      <c r="T9" s="20">
        <f t="shared" si="16"/>
        <v>13374.017660000001</v>
      </c>
      <c r="U9" s="20">
        <f t="shared" si="16"/>
        <v>13374.01766</v>
      </c>
      <c r="V9" s="20">
        <f t="shared" si="16"/>
        <v>13150.00201</v>
      </c>
      <c r="W9" s="20">
        <f t="shared" si="16"/>
        <v>13059.1</v>
      </c>
      <c r="X9" s="20">
        <f t="shared" si="16"/>
        <v>13253.167410000002</v>
      </c>
      <c r="Y9" s="20">
        <f t="shared" si="16"/>
        <v>13253.167410000002</v>
      </c>
      <c r="Z9" s="20">
        <f t="shared" si="16"/>
        <v>13000.00201</v>
      </c>
      <c r="AA9" s="20">
        <f t="shared" si="16"/>
        <v>13360.1</v>
      </c>
      <c r="AB9" s="20">
        <f t="shared" si="16"/>
        <v>13867.235409999998</v>
      </c>
      <c r="AC9" s="20">
        <f t="shared" si="16"/>
        <v>13867.235409999998</v>
      </c>
      <c r="AD9" s="20">
        <f t="shared" si="16"/>
        <v>13450.00201</v>
      </c>
      <c r="AE9" s="20">
        <f t="shared" si="16"/>
        <v>13650</v>
      </c>
      <c r="AF9" s="20">
        <f t="shared" si="16"/>
        <v>13920.333840000001</v>
      </c>
      <c r="AG9" s="20">
        <f t="shared" si="16"/>
        <v>13920.333840000001</v>
      </c>
      <c r="AH9" s="20">
        <f t="shared" si="16"/>
        <v>13460.00201</v>
      </c>
      <c r="AI9" s="20">
        <f t="shared" si="16"/>
        <v>13480.00201</v>
      </c>
      <c r="AJ9" s="20">
        <f t="shared" si="16"/>
        <v>13500.00201</v>
      </c>
      <c r="AK9" s="20">
        <f t="shared" si="16"/>
        <v>14045</v>
      </c>
      <c r="AL9" s="20">
        <f t="shared" si="16"/>
        <v>14728.04859</v>
      </c>
      <c r="AM9" s="20">
        <f t="shared" si="16"/>
        <v>14728.04859</v>
      </c>
      <c r="AN9" s="20">
        <f t="shared" si="16"/>
        <v>14100.00201</v>
      </c>
      <c r="AO9" s="20">
        <f t="shared" si="16"/>
        <v>14100.00201</v>
      </c>
      <c r="AP9" s="20">
        <f t="shared" si="16"/>
        <v>14100.00201</v>
      </c>
      <c r="AQ9" s="20">
        <v>14100</v>
      </c>
      <c r="AR9" s="20">
        <v>14113.2</v>
      </c>
      <c r="AS9" s="20">
        <v>14464.2</v>
      </c>
      <c r="AT9" s="20">
        <f>AT10+AT12+AT11+AT13</f>
        <v>14521.800000000001</v>
      </c>
      <c r="AU9" s="20">
        <f>AU10+AU12+AU11+AU13</f>
        <v>14868.1</v>
      </c>
      <c r="AV9" s="20">
        <f>AV10+AV12+AV11+AV13</f>
        <v>15332.99559</v>
      </c>
      <c r="AW9" s="20">
        <f>AW10+AW12+AW11+AW13</f>
        <v>15332.99559</v>
      </c>
      <c r="AX9" s="20">
        <f>AX10+AX12+AX11</f>
        <v>14820.00201</v>
      </c>
      <c r="AY9" s="20">
        <f>AY10+AY12+AY11</f>
        <v>14850.00201</v>
      </c>
      <c r="AZ9" s="20">
        <f>AZ10+AZ12+AZ11</f>
        <v>14900.00201</v>
      </c>
      <c r="BA9" s="20">
        <v>14820</v>
      </c>
      <c r="BB9" s="20">
        <v>14820</v>
      </c>
      <c r="BC9" s="20">
        <f>BC10+BC12+BC11+BC13</f>
        <v>16097</v>
      </c>
      <c r="BD9" s="20">
        <f>BD10+BD12+BD11+BD13</f>
        <v>16764.400000000001</v>
      </c>
      <c r="BE9" s="20">
        <f>BE10+BE12+BE11+BE13</f>
        <v>17298.138800000001</v>
      </c>
      <c r="BF9" s="20">
        <f>BF10+BF12+BF11+BF13</f>
        <v>17298.138800000001</v>
      </c>
      <c r="BG9" s="20">
        <f>BG10+BG12+BG11</f>
        <v>15500.00201</v>
      </c>
      <c r="BH9" s="20">
        <f>BH10+BH12+BH11</f>
        <v>15700.00201</v>
      </c>
      <c r="BI9" s="20">
        <f>BI10+BI12+BI11</f>
        <v>15950.00201</v>
      </c>
      <c r="BJ9" s="20">
        <f>BJ10+BJ12+BJ11</f>
        <v>15500</v>
      </c>
      <c r="BK9" s="20">
        <f>BK10+BK12+BK11</f>
        <v>15500</v>
      </c>
      <c r="BL9" s="20">
        <f>SUM(BL10:BL14)</f>
        <v>17986.699999999997</v>
      </c>
      <c r="BM9" s="20">
        <f>BM10+BM12+BM11</f>
        <v>18300.00201</v>
      </c>
      <c r="BN9" s="20">
        <f>BN10+BN12+BN11+BN13+BN14</f>
        <v>18786.15323</v>
      </c>
      <c r="BO9" s="20">
        <f>BO10+BO12+BO11+BO13+BO14</f>
        <v>18786.15323</v>
      </c>
      <c r="BP9" s="20">
        <f>BP10+BP12+BP11</f>
        <v>18000.00201</v>
      </c>
      <c r="BQ9" s="20">
        <f>BQ10+BQ12+BQ11</f>
        <v>18500.00201</v>
      </c>
      <c r="BR9" s="20">
        <f>BR10+BR12+BR11</f>
        <v>19000.00201</v>
      </c>
      <c r="BS9" s="20">
        <f>BS10+BS12+BS11</f>
        <v>18000</v>
      </c>
      <c r="BT9" s="20">
        <f>BT10+BT12+BT11</f>
        <v>18000</v>
      </c>
      <c r="BU9" s="20">
        <f>BU10+BU12+BU11+BU13+BU14</f>
        <v>18213</v>
      </c>
      <c r="BV9" s="20">
        <f>BV10+BV12+BV11+BV13+BV14</f>
        <v>14476.6</v>
      </c>
      <c r="BW9" s="20">
        <f>BW10+BW12+BW11+BW13+BW14</f>
        <v>18784.7</v>
      </c>
      <c r="BX9" s="24">
        <f t="shared" si="7"/>
        <v>784.69799000000057</v>
      </c>
      <c r="BY9" s="25">
        <f t="shared" si="8"/>
        <v>104.35943279097447</v>
      </c>
      <c r="BZ9" s="20">
        <v>19200</v>
      </c>
      <c r="CA9" s="20">
        <f>CA10+CA12+CA11+CA13+CA14</f>
        <v>20101.9038</v>
      </c>
      <c r="CB9" s="20">
        <f>SUM(CB10:CB15)</f>
        <v>19477.293890000001</v>
      </c>
      <c r="CC9" s="28">
        <f t="shared" si="9"/>
        <v>111.67723086270922</v>
      </c>
      <c r="CD9" s="28">
        <f t="shared" si="10"/>
        <v>107.012109855361</v>
      </c>
      <c r="CE9" s="28">
        <f t="shared" si="11"/>
        <v>107.00383177913642</v>
      </c>
      <c r="CF9" s="20">
        <f>CF10+CF12+CF11</f>
        <v>18200.00201</v>
      </c>
      <c r="CG9" s="20">
        <f>CG10+CG12+CG11</f>
        <v>18200.00201</v>
      </c>
      <c r="CH9" s="20">
        <f t="shared" si="12"/>
        <v>0</v>
      </c>
      <c r="CI9" s="20">
        <f t="shared" si="13"/>
        <v>100</v>
      </c>
      <c r="CJ9" s="20">
        <f>CJ10+CJ12+CJ11</f>
        <v>18400.00201</v>
      </c>
      <c r="CK9" s="20">
        <f>CK10+CK12+CK11</f>
        <v>18700.00201</v>
      </c>
    </row>
    <row r="10" spans="1:89" ht="27" hidden="1" customHeight="1">
      <c r="A10" s="10" t="s">
        <v>97</v>
      </c>
      <c r="B10" s="27" t="s">
        <v>98</v>
      </c>
      <c r="C10" s="28">
        <v>11466.40632</v>
      </c>
      <c r="D10" s="28">
        <v>10700</v>
      </c>
      <c r="E10" s="28">
        <v>12393.98</v>
      </c>
      <c r="F10" s="28">
        <f>11899.99106+8.61373</f>
        <v>11908.604789999999</v>
      </c>
      <c r="G10" s="28">
        <v>13384.5</v>
      </c>
      <c r="H10" s="28">
        <v>13292.2</v>
      </c>
      <c r="I10" s="28">
        <f>-11.67359+12551.0284+0.1578+0.02</f>
        <v>12539.53261</v>
      </c>
      <c r="J10" s="28">
        <v>13125</v>
      </c>
      <c r="K10" s="28">
        <v>12632</v>
      </c>
      <c r="L10" s="28">
        <f>0.12/1000+12100.91792+0.64989+0.3</f>
        <v>12101.86793</v>
      </c>
      <c r="M10" s="28">
        <f>0.12/1000+12100.91792+0.64989+0.3</f>
        <v>12101.86793</v>
      </c>
      <c r="N10" s="28">
        <v>12839.7</v>
      </c>
      <c r="O10" s="28">
        <v>12839.7</v>
      </c>
      <c r="P10" s="28">
        <f>12036.89513+11.4/1000+3/1000</f>
        <v>12036.909530000001</v>
      </c>
      <c r="Q10" s="28">
        <f>12036.89513+11.4/1000+3/1000</f>
        <v>12036.909530000001</v>
      </c>
      <c r="R10" s="28">
        <v>12800</v>
      </c>
      <c r="S10" s="28">
        <v>13313.7</v>
      </c>
      <c r="T10" s="28">
        <f>13375.09381+3.24537+0.2+0.025</f>
        <v>13378.564180000001</v>
      </c>
      <c r="U10" s="28">
        <v>13371.83246</v>
      </c>
      <c r="V10" s="28">
        <v>13150</v>
      </c>
      <c r="W10" s="28">
        <v>13050</v>
      </c>
      <c r="X10" s="28">
        <v>13242.48407</v>
      </c>
      <c r="Y10" s="28">
        <v>13242.48407</v>
      </c>
      <c r="Z10" s="28">
        <v>13000</v>
      </c>
      <c r="AA10" s="28">
        <v>13360.1</v>
      </c>
      <c r="AB10" s="28">
        <f>13855.49225+1.27635+1.29344</f>
        <v>13858.062039999999</v>
      </c>
      <c r="AC10" s="28">
        <f>13855.49225+1.27635+1.29344</f>
        <v>13858.062039999999</v>
      </c>
      <c r="AD10" s="28">
        <v>13450</v>
      </c>
      <c r="AE10" s="28">
        <v>13450</v>
      </c>
      <c r="AF10" s="28">
        <v>13718.92712</v>
      </c>
      <c r="AG10" s="28">
        <v>13718.92712</v>
      </c>
      <c r="AH10" s="28">
        <v>13460</v>
      </c>
      <c r="AI10" s="28">
        <v>13480</v>
      </c>
      <c r="AJ10" s="28">
        <v>13500</v>
      </c>
      <c r="AK10" s="28">
        <v>14045</v>
      </c>
      <c r="AL10" s="28">
        <v>14735.07633</v>
      </c>
      <c r="AM10" s="28">
        <v>14735.07633</v>
      </c>
      <c r="AN10" s="28">
        <v>14100</v>
      </c>
      <c r="AO10" s="28">
        <v>14100</v>
      </c>
      <c r="AP10" s="28">
        <v>14100</v>
      </c>
      <c r="AQ10" s="28"/>
      <c r="AR10" s="28"/>
      <c r="AS10" s="28"/>
      <c r="AT10" s="28">
        <v>14441.6</v>
      </c>
      <c r="AU10" s="28">
        <v>14747.9</v>
      </c>
      <c r="AV10" s="28">
        <f>15207.88823+2.72864</f>
        <v>15210.61687</v>
      </c>
      <c r="AW10" s="28">
        <f>15210.61687</f>
        <v>15210.61687</v>
      </c>
      <c r="AX10" s="28">
        <v>14820</v>
      </c>
      <c r="AY10" s="28">
        <v>14850</v>
      </c>
      <c r="AZ10" s="28">
        <v>14900</v>
      </c>
      <c r="BA10" s="28"/>
      <c r="BB10" s="28"/>
      <c r="BC10" s="29">
        <v>16020</v>
      </c>
      <c r="BD10" s="28">
        <v>16620</v>
      </c>
      <c r="BE10" s="28">
        <v>17128.97207</v>
      </c>
      <c r="BF10" s="28">
        <v>17128.97207</v>
      </c>
      <c r="BG10" s="28">
        <v>15500</v>
      </c>
      <c r="BH10" s="28">
        <v>15700</v>
      </c>
      <c r="BI10" s="28">
        <v>15950</v>
      </c>
      <c r="BJ10" s="20">
        <v>15500</v>
      </c>
      <c r="BK10" s="23">
        <v>15500</v>
      </c>
      <c r="BL10" s="28">
        <v>17833</v>
      </c>
      <c r="BM10" s="28">
        <v>18300</v>
      </c>
      <c r="BN10" s="28">
        <v>18540.49034</v>
      </c>
      <c r="BO10" s="28">
        <v>18540.49034</v>
      </c>
      <c r="BP10" s="28">
        <v>18000</v>
      </c>
      <c r="BQ10" s="28">
        <v>18500</v>
      </c>
      <c r="BR10" s="28">
        <v>19000</v>
      </c>
      <c r="BS10" s="23">
        <v>18000</v>
      </c>
      <c r="BT10" s="28">
        <v>18000</v>
      </c>
      <c r="BU10" s="28">
        <v>18000</v>
      </c>
      <c r="BV10" s="28">
        <v>14293.1</v>
      </c>
      <c r="BW10" s="28">
        <v>18535.7</v>
      </c>
      <c r="BX10" s="24">
        <f t="shared" si="7"/>
        <v>535.70000000000073</v>
      </c>
      <c r="BY10" s="25">
        <f t="shared" si="8"/>
        <v>102.97611111111111</v>
      </c>
      <c r="BZ10" s="28"/>
      <c r="CA10" s="28">
        <v>19752.139709999999</v>
      </c>
      <c r="CB10" s="28">
        <v>19752.139709999999</v>
      </c>
      <c r="CC10" s="28">
        <f t="shared" si="9"/>
        <v>109.7341095</v>
      </c>
      <c r="CD10" s="28">
        <f t="shared" si="10"/>
        <v>106.56268557432414</v>
      </c>
      <c r="CE10" s="28">
        <f t="shared" si="11"/>
        <v>106.53515278064647</v>
      </c>
      <c r="CF10" s="28">
        <v>18200</v>
      </c>
      <c r="CG10" s="28">
        <v>18200</v>
      </c>
      <c r="CH10" s="20">
        <f t="shared" si="12"/>
        <v>0</v>
      </c>
      <c r="CI10" s="20">
        <f t="shared" si="13"/>
        <v>100</v>
      </c>
      <c r="CJ10" s="28">
        <v>18400</v>
      </c>
      <c r="CK10" s="28">
        <v>18700</v>
      </c>
    </row>
    <row r="11" spans="1:89" ht="27" hidden="1" customHeight="1">
      <c r="A11" s="10" t="s">
        <v>99</v>
      </c>
      <c r="B11" s="30" t="s">
        <v>100</v>
      </c>
      <c r="C11" s="28">
        <v>5.1579300000000003</v>
      </c>
      <c r="D11" s="28"/>
      <c r="E11" s="28">
        <v>2.42</v>
      </c>
      <c r="F11" s="28">
        <f>2.2518+0.06818+0.1</f>
        <v>2.4199799999999998</v>
      </c>
      <c r="G11" s="28">
        <v>2</v>
      </c>
      <c r="H11" s="28">
        <v>8</v>
      </c>
      <c r="I11" s="28">
        <f>5.284+0.05502+0.1</f>
        <v>5.4390199999999993</v>
      </c>
      <c r="J11" s="28">
        <v>0</v>
      </c>
      <c r="K11" s="28">
        <v>17</v>
      </c>
      <c r="L11" s="28">
        <f>12.9505+2.55428+1.88108</f>
        <v>17.385860000000001</v>
      </c>
      <c r="M11" s="28">
        <f>12.9505+2.55428+1.88108</f>
        <v>17.385860000000001</v>
      </c>
      <c r="N11" s="28">
        <v>0</v>
      </c>
      <c r="O11" s="28">
        <v>0</v>
      </c>
      <c r="P11" s="28">
        <f>-0.4144-1.77/1000</f>
        <v>-0.41616999999999998</v>
      </c>
      <c r="Q11" s="28">
        <f>-0.4144-1.77/1000</f>
        <v>-0.41616999999999998</v>
      </c>
      <c r="R11" s="28">
        <v>0</v>
      </c>
      <c r="S11" s="28">
        <v>0</v>
      </c>
      <c r="T11" s="28">
        <f>-7.0487+16.98/1000+0.3</f>
        <v>-6.7317200000000001</v>
      </c>
      <c r="U11" s="28">
        <v>0</v>
      </c>
      <c r="V11" s="28">
        <v>0</v>
      </c>
      <c r="W11" s="28">
        <v>0</v>
      </c>
      <c r="X11" s="28">
        <v>1.34372</v>
      </c>
      <c r="Y11" s="28">
        <v>1.34372</v>
      </c>
      <c r="Z11" s="28">
        <v>0</v>
      </c>
      <c r="AA11" s="28">
        <v>0</v>
      </c>
      <c r="AB11" s="28">
        <f>6.30413+0.05456+0.62501-0.00203</f>
        <v>6.9816699999999994</v>
      </c>
      <c r="AC11" s="28">
        <f>6.30413+0.05456+0.62501-0.00203</f>
        <v>6.9816699999999994</v>
      </c>
      <c r="AD11" s="28">
        <v>0</v>
      </c>
      <c r="AE11" s="28">
        <v>195</v>
      </c>
      <c r="AF11" s="28">
        <v>195.68056000000001</v>
      </c>
      <c r="AG11" s="28">
        <v>195.68056000000001</v>
      </c>
      <c r="AH11" s="28">
        <v>0</v>
      </c>
      <c r="AI11" s="28">
        <v>0</v>
      </c>
      <c r="AJ11" s="28">
        <v>0</v>
      </c>
      <c r="AK11" s="28">
        <v>0</v>
      </c>
      <c r="AL11" s="28">
        <f>0.0195+1.68526-10.61183</f>
        <v>-8.9070699999999992</v>
      </c>
      <c r="AM11" s="28">
        <f>0.0195+1.68526-10.61183</f>
        <v>-8.9070699999999992</v>
      </c>
      <c r="AN11" s="28">
        <v>0</v>
      </c>
      <c r="AO11" s="28">
        <v>0</v>
      </c>
      <c r="AP11" s="28">
        <v>0</v>
      </c>
      <c r="AQ11" s="28"/>
      <c r="AR11" s="28"/>
      <c r="AS11" s="28"/>
      <c r="AT11" s="28">
        <v>13.2</v>
      </c>
      <c r="AU11" s="28">
        <v>13.2</v>
      </c>
      <c r="AV11" s="28">
        <f>8.67901+3.3816+1.76515</f>
        <v>13.825760000000001</v>
      </c>
      <c r="AW11" s="28">
        <v>13.825760000000001</v>
      </c>
      <c r="AX11" s="28">
        <v>0</v>
      </c>
      <c r="AY11" s="28">
        <v>0</v>
      </c>
      <c r="AZ11" s="28">
        <v>0</v>
      </c>
      <c r="BA11" s="28"/>
      <c r="BB11" s="28"/>
      <c r="BC11" s="29">
        <v>0</v>
      </c>
      <c r="BD11" s="28">
        <v>0</v>
      </c>
      <c r="BE11" s="28">
        <v>0.13661999999999999</v>
      </c>
      <c r="BF11" s="28">
        <v>0.13661999999999999</v>
      </c>
      <c r="BG11" s="28">
        <v>0</v>
      </c>
      <c r="BH11" s="28">
        <v>0</v>
      </c>
      <c r="BI11" s="28">
        <v>0</v>
      </c>
      <c r="BJ11" s="20"/>
      <c r="BK11" s="23"/>
      <c r="BL11" s="28">
        <v>1</v>
      </c>
      <c r="BM11" s="28">
        <v>0</v>
      </c>
      <c r="BN11" s="28">
        <v>1.08005</v>
      </c>
      <c r="BO11" s="28">
        <v>1.08005</v>
      </c>
      <c r="BP11" s="28">
        <v>0</v>
      </c>
      <c r="BQ11" s="28">
        <v>0</v>
      </c>
      <c r="BR11" s="28">
        <v>0</v>
      </c>
      <c r="BS11" s="23"/>
      <c r="BT11" s="28"/>
      <c r="BU11" s="28"/>
      <c r="BV11" s="28"/>
      <c r="BW11" s="28"/>
      <c r="BX11" s="24">
        <f t="shared" si="7"/>
        <v>0</v>
      </c>
      <c r="BY11" s="25" t="e">
        <f t="shared" si="8"/>
        <v>#DIV/0!</v>
      </c>
      <c r="BZ11" s="28"/>
      <c r="CA11" s="28">
        <v>0</v>
      </c>
      <c r="CB11" s="28">
        <v>0</v>
      </c>
      <c r="CC11" s="28" t="e">
        <f t="shared" si="9"/>
        <v>#DIV/0!</v>
      </c>
      <c r="CD11" s="28" t="e">
        <f t="shared" si="10"/>
        <v>#DIV/0!</v>
      </c>
      <c r="CE11" s="28">
        <f t="shared" si="11"/>
        <v>0</v>
      </c>
      <c r="CF11" s="28">
        <v>0</v>
      </c>
      <c r="CG11" s="28">
        <v>0</v>
      </c>
      <c r="CH11" s="20">
        <f t="shared" si="12"/>
        <v>0</v>
      </c>
      <c r="CI11" s="20" t="e">
        <f t="shared" si="13"/>
        <v>#DIV/0!</v>
      </c>
      <c r="CJ11" s="28">
        <v>0</v>
      </c>
      <c r="CK11" s="28">
        <v>0</v>
      </c>
    </row>
    <row r="12" spans="1:89" ht="27" hidden="1" customHeight="1">
      <c r="A12" s="10" t="s">
        <v>101</v>
      </c>
      <c r="B12" s="30" t="s">
        <v>102</v>
      </c>
      <c r="C12" s="28">
        <v>3.0457999999999998</v>
      </c>
      <c r="D12" s="28">
        <v>3</v>
      </c>
      <c r="E12" s="28">
        <v>12.3</v>
      </c>
      <c r="F12" s="28">
        <v>12.245100000000001</v>
      </c>
      <c r="G12" s="28">
        <v>12</v>
      </c>
      <c r="H12" s="28">
        <v>12</v>
      </c>
      <c r="I12" s="28">
        <f>11.6013+0.00022</f>
        <v>11.601520000000001</v>
      </c>
      <c r="J12" s="28">
        <v>0</v>
      </c>
      <c r="K12" s="28">
        <v>4.5</v>
      </c>
      <c r="L12" s="28">
        <f>-0.12/1000+3.7493+38.87/1000+0.7</f>
        <v>4.4880500000000003</v>
      </c>
      <c r="M12" s="28">
        <f>-0.12/1000+3.7493+38.87/1000+0.7</f>
        <v>4.4880500000000003</v>
      </c>
      <c r="N12" s="28">
        <v>0</v>
      </c>
      <c r="O12" s="28">
        <v>0</v>
      </c>
      <c r="P12" s="28">
        <f>0.1/1000+0.9427+32.97/1000+0.825</f>
        <v>1.80077</v>
      </c>
      <c r="Q12" s="28">
        <f>0.1/1000+0.9427+32.97/1000+0.825</f>
        <v>1.80077</v>
      </c>
      <c r="R12" s="28">
        <v>0</v>
      </c>
      <c r="S12" s="28">
        <v>2.2000000000000002</v>
      </c>
      <c r="T12" s="28">
        <f>1.8719+13.3/1000+0.3</f>
        <v>2.1852</v>
      </c>
      <c r="U12" s="28">
        <v>2.1852</v>
      </c>
      <c r="V12" s="28">
        <v>2.0100000000000001E-3</v>
      </c>
      <c r="W12" s="28">
        <v>9.1</v>
      </c>
      <c r="X12" s="28">
        <v>9.33962</v>
      </c>
      <c r="Y12" s="28">
        <v>9.33962</v>
      </c>
      <c r="Z12" s="28">
        <v>2.0100000000000001E-3</v>
      </c>
      <c r="AA12" s="28">
        <v>0</v>
      </c>
      <c r="AB12" s="28">
        <f>1.6486+0.0181+0.525</f>
        <v>2.1917</v>
      </c>
      <c r="AC12" s="28">
        <f>1.6486+0.0181+0.525</f>
        <v>2.1917</v>
      </c>
      <c r="AD12" s="28">
        <v>2.0100000000000001E-3</v>
      </c>
      <c r="AE12" s="28">
        <v>5</v>
      </c>
      <c r="AF12" s="28">
        <v>5.7261600000000001</v>
      </c>
      <c r="AG12" s="28">
        <v>5.7261600000000001</v>
      </c>
      <c r="AH12" s="28">
        <v>2.0100000000000001E-3</v>
      </c>
      <c r="AI12" s="28">
        <v>2.0100000000000001E-3</v>
      </c>
      <c r="AJ12" s="28">
        <v>2.0100000000000001E-3</v>
      </c>
      <c r="AK12" s="28">
        <v>0</v>
      </c>
      <c r="AL12" s="28">
        <f>1.87933</f>
        <v>1.8793299999999999</v>
      </c>
      <c r="AM12" s="28">
        <f>1.87933</f>
        <v>1.8793299999999999</v>
      </c>
      <c r="AN12" s="28">
        <v>2.0100000000000001E-3</v>
      </c>
      <c r="AO12" s="28">
        <v>2.0100000000000001E-3</v>
      </c>
      <c r="AP12" s="28">
        <v>2.0100000000000001E-3</v>
      </c>
      <c r="AQ12" s="28"/>
      <c r="AR12" s="28"/>
      <c r="AS12" s="28"/>
      <c r="AT12" s="28">
        <v>41</v>
      </c>
      <c r="AU12" s="28">
        <v>68</v>
      </c>
      <c r="AV12" s="28">
        <f>67.78149+0.96078</f>
        <v>68.742270000000005</v>
      </c>
      <c r="AW12" s="28">
        <v>68.742270000000005</v>
      </c>
      <c r="AX12" s="28">
        <v>2.0100000000000001E-3</v>
      </c>
      <c r="AY12" s="28">
        <v>2.0100000000000001E-3</v>
      </c>
      <c r="AZ12" s="28">
        <v>2.0100000000000001E-3</v>
      </c>
      <c r="BA12" s="28"/>
      <c r="BB12" s="28"/>
      <c r="BC12" s="29">
        <v>26.6</v>
      </c>
      <c r="BD12" s="28">
        <v>33.4</v>
      </c>
      <c r="BE12" s="28">
        <v>33.429000000000002</v>
      </c>
      <c r="BF12" s="28">
        <v>33.429000000000002</v>
      </c>
      <c r="BG12" s="28">
        <v>2.0100000000000001E-3</v>
      </c>
      <c r="BH12" s="28">
        <v>2.0100000000000001E-3</v>
      </c>
      <c r="BI12" s="28">
        <v>2.0100000000000001E-3</v>
      </c>
      <c r="BJ12" s="20"/>
      <c r="BK12" s="23"/>
      <c r="BL12" s="28">
        <v>19.5</v>
      </c>
      <c r="BM12" s="28">
        <v>2.0100000000000001E-3</v>
      </c>
      <c r="BN12" s="28">
        <v>20.931290000000001</v>
      </c>
      <c r="BO12" s="28">
        <v>20.931290000000001</v>
      </c>
      <c r="BP12" s="28">
        <v>2.0100000000000001E-3</v>
      </c>
      <c r="BQ12" s="28">
        <v>2.0100000000000001E-3</v>
      </c>
      <c r="BR12" s="28">
        <v>2.0100000000000001E-3</v>
      </c>
      <c r="BS12" s="23"/>
      <c r="BT12" s="28"/>
      <c r="BU12" s="28">
        <v>100</v>
      </c>
      <c r="BV12" s="28">
        <v>97</v>
      </c>
      <c r="BW12" s="28">
        <v>100</v>
      </c>
      <c r="BX12" s="24">
        <f t="shared" si="7"/>
        <v>99.997990000000001</v>
      </c>
      <c r="BY12" s="25">
        <f t="shared" si="8"/>
        <v>4975124.3781094523</v>
      </c>
      <c r="BZ12" s="28"/>
      <c r="CA12" s="28">
        <v>92.068430000000006</v>
      </c>
      <c r="CB12" s="28">
        <v>92.068430000000006</v>
      </c>
      <c r="CC12" s="28">
        <f t="shared" si="9"/>
        <v>4580518.9054726372</v>
      </c>
      <c r="CD12" s="28">
        <f t="shared" si="10"/>
        <v>92.068430000000006</v>
      </c>
      <c r="CE12" s="28">
        <f t="shared" si="11"/>
        <v>439.86027617026951</v>
      </c>
      <c r="CF12" s="28">
        <v>2.0100000000000001E-3</v>
      </c>
      <c r="CG12" s="28">
        <v>2.0100000000000001E-3</v>
      </c>
      <c r="CH12" s="20">
        <f t="shared" si="12"/>
        <v>0</v>
      </c>
      <c r="CI12" s="20">
        <f t="shared" si="13"/>
        <v>100</v>
      </c>
      <c r="CJ12" s="28">
        <v>2.0100000000000001E-3</v>
      </c>
      <c r="CK12" s="28">
        <v>2.0100000000000001E-3</v>
      </c>
    </row>
    <row r="13" spans="1:89" ht="27" hidden="1" customHeight="1">
      <c r="A13" s="10" t="s">
        <v>103</v>
      </c>
      <c r="B13" s="30" t="s">
        <v>104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>
        <v>26</v>
      </c>
      <c r="AU13" s="28">
        <v>39</v>
      </c>
      <c r="AV13" s="28">
        <v>39.810690000000001</v>
      </c>
      <c r="AW13" s="28">
        <v>39.810690000000001</v>
      </c>
      <c r="AX13" s="28"/>
      <c r="AY13" s="28"/>
      <c r="AZ13" s="28"/>
      <c r="BA13" s="28"/>
      <c r="BB13" s="28"/>
      <c r="BC13" s="29">
        <v>50.4</v>
      </c>
      <c r="BD13" s="28">
        <v>111</v>
      </c>
      <c r="BE13" s="28">
        <v>135.60111000000001</v>
      </c>
      <c r="BF13" s="28">
        <v>135.60111000000001</v>
      </c>
      <c r="BG13" s="28"/>
      <c r="BH13" s="28"/>
      <c r="BI13" s="28"/>
      <c r="BJ13" s="20"/>
      <c r="BK13" s="23"/>
      <c r="BL13" s="28">
        <v>131.6</v>
      </c>
      <c r="BM13" s="28"/>
      <c r="BN13" s="28">
        <v>220.45266000000001</v>
      </c>
      <c r="BO13" s="28">
        <v>220.45266000000001</v>
      </c>
      <c r="BP13" s="28"/>
      <c r="BQ13" s="28"/>
      <c r="BR13" s="28"/>
      <c r="BS13" s="23"/>
      <c r="BT13" s="28"/>
      <c r="BU13" s="28">
        <v>100</v>
      </c>
      <c r="BV13" s="28">
        <v>77.5</v>
      </c>
      <c r="BW13" s="28">
        <v>140</v>
      </c>
      <c r="BX13" s="24">
        <f t="shared" si="7"/>
        <v>140</v>
      </c>
      <c r="BY13" s="25" t="e">
        <f t="shared" si="8"/>
        <v>#DIV/0!</v>
      </c>
      <c r="BZ13" s="28"/>
      <c r="CA13" s="28">
        <v>241.25886</v>
      </c>
      <c r="CB13" s="28">
        <v>241.25886</v>
      </c>
      <c r="CC13" s="28" t="e">
        <f t="shared" si="9"/>
        <v>#DIV/0!</v>
      </c>
      <c r="CD13" s="28">
        <f t="shared" si="10"/>
        <v>172.32775714285714</v>
      </c>
      <c r="CE13" s="28">
        <f t="shared" si="11"/>
        <v>109.43794463627701</v>
      </c>
      <c r="CF13" s="28"/>
      <c r="CG13" s="28"/>
      <c r="CH13" s="20">
        <f t="shared" si="12"/>
        <v>0</v>
      </c>
      <c r="CI13" s="20" t="e">
        <f t="shared" si="13"/>
        <v>#DIV/0!</v>
      </c>
      <c r="CJ13" s="28"/>
      <c r="CK13" s="28"/>
    </row>
    <row r="14" spans="1:89" ht="27" hidden="1" customHeight="1">
      <c r="A14" s="31" t="s">
        <v>105</v>
      </c>
      <c r="B14" s="30" t="s">
        <v>106</v>
      </c>
      <c r="C14" s="28"/>
      <c r="D14" s="28">
        <v>0</v>
      </c>
      <c r="E14" s="28">
        <v>0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9"/>
      <c r="BD14" s="28"/>
      <c r="BE14" s="28"/>
      <c r="BF14" s="28"/>
      <c r="BG14" s="28"/>
      <c r="BH14" s="28"/>
      <c r="BI14" s="28"/>
      <c r="BJ14" s="20"/>
      <c r="BK14" s="23"/>
      <c r="BL14" s="28">
        <v>1.6</v>
      </c>
      <c r="BM14" s="28"/>
      <c r="BN14" s="28">
        <f>3.1988+0.09/1000</f>
        <v>3.19889</v>
      </c>
      <c r="BO14" s="28">
        <f>3.1988+0.09/1000</f>
        <v>3.19889</v>
      </c>
      <c r="BP14" s="28"/>
      <c r="BQ14" s="28"/>
      <c r="BR14" s="28"/>
      <c r="BS14" s="23"/>
      <c r="BT14" s="28"/>
      <c r="BU14" s="28">
        <v>13</v>
      </c>
      <c r="BV14" s="28">
        <v>9</v>
      </c>
      <c r="BW14" s="28">
        <v>9</v>
      </c>
      <c r="BX14" s="24">
        <f t="shared" si="7"/>
        <v>9</v>
      </c>
      <c r="BY14" s="25" t="e">
        <f t="shared" si="8"/>
        <v>#DIV/0!</v>
      </c>
      <c r="BZ14" s="28"/>
      <c r="CA14" s="28">
        <v>16.436800000000002</v>
      </c>
      <c r="CB14" s="28">
        <v>16.436800000000002</v>
      </c>
      <c r="CC14" s="28" t="e">
        <f t="shared" si="9"/>
        <v>#DIV/0!</v>
      </c>
      <c r="CD14" s="28">
        <f t="shared" si="10"/>
        <v>182.63111111111112</v>
      </c>
      <c r="CE14" s="28">
        <f t="shared" si="11"/>
        <v>513.82823416872736</v>
      </c>
      <c r="CF14" s="28"/>
      <c r="CG14" s="28"/>
      <c r="CH14" s="20">
        <f t="shared" si="12"/>
        <v>0</v>
      </c>
      <c r="CI14" s="20" t="e">
        <f t="shared" si="13"/>
        <v>#DIV/0!</v>
      </c>
      <c r="CJ14" s="28"/>
      <c r="CK14" s="28"/>
    </row>
    <row r="15" spans="1:89" ht="27" hidden="1" customHeight="1">
      <c r="A15" s="31" t="s">
        <v>107</v>
      </c>
      <c r="B15" s="30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9"/>
      <c r="BD15" s="28"/>
      <c r="BE15" s="28"/>
      <c r="BF15" s="28"/>
      <c r="BG15" s="28"/>
      <c r="BH15" s="28"/>
      <c r="BI15" s="28"/>
      <c r="BJ15" s="20"/>
      <c r="BK15" s="23"/>
      <c r="BL15" s="28"/>
      <c r="BM15" s="28"/>
      <c r="BN15" s="28"/>
      <c r="BO15" s="28"/>
      <c r="BP15" s="28"/>
      <c r="BQ15" s="28"/>
      <c r="BR15" s="28"/>
      <c r="BS15" s="23"/>
      <c r="BT15" s="28"/>
      <c r="BU15" s="28"/>
      <c r="BV15" s="28"/>
      <c r="BW15" s="28"/>
      <c r="BX15" s="24"/>
      <c r="BY15" s="25"/>
      <c r="BZ15" s="28"/>
      <c r="CA15" s="28">
        <f>-0.09/1000</f>
        <v>-8.9999999999999992E-5</v>
      </c>
      <c r="CB15" s="28">
        <v>-624.60991000000001</v>
      </c>
      <c r="CC15" s="28" t="e">
        <f t="shared" si="9"/>
        <v>#DIV/0!</v>
      </c>
      <c r="CD15" s="28" t="e">
        <f t="shared" si="10"/>
        <v>#DIV/0!</v>
      </c>
      <c r="CE15" s="28" t="e">
        <f t="shared" si="11"/>
        <v>#DIV/0!</v>
      </c>
      <c r="CF15" s="28"/>
      <c r="CG15" s="28"/>
      <c r="CH15" s="20"/>
      <c r="CI15" s="20"/>
      <c r="CJ15" s="28"/>
      <c r="CK15" s="28"/>
    </row>
    <row r="16" spans="1:89" ht="27.75" customHeight="1">
      <c r="A16" s="32" t="s">
        <v>108</v>
      </c>
      <c r="B16" s="33" t="s">
        <v>109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0">
        <f>V17+V18+V19</f>
        <v>4215</v>
      </c>
      <c r="W16" s="20">
        <f>W17+W18+W19</f>
        <v>3480.9</v>
      </c>
      <c r="X16" s="20">
        <f>X17+X18+X19+X20</f>
        <v>3396.5520000000001</v>
      </c>
      <c r="Y16" s="20">
        <f>Y17+Y18+Y19+Y20</f>
        <v>3396.5520000000001</v>
      </c>
      <c r="Z16" s="20">
        <f>Z17+Z18+Z19</f>
        <v>3943.7</v>
      </c>
      <c r="AA16" s="20">
        <f>AA17+AA18+AA19</f>
        <v>3943.7</v>
      </c>
      <c r="AB16" s="20">
        <f>AB17+AB18+AB19+AB20</f>
        <v>4622.7254899999998</v>
      </c>
      <c r="AC16" s="20">
        <f>AC17+AC18+AC19+AC20</f>
        <v>4622.7254899999998</v>
      </c>
      <c r="AD16" s="20">
        <f>AD17+AD18+AD19</f>
        <v>4776.3</v>
      </c>
      <c r="AE16" s="20">
        <f>AE17+AE18+AE19</f>
        <v>5176.3</v>
      </c>
      <c r="AF16" s="20">
        <f>AF17+AF18+AF19+AF20</f>
        <v>5269.6480899999997</v>
      </c>
      <c r="AG16" s="20">
        <f>AG17+AG18+AG19+AG20</f>
        <v>5269.6480899999997</v>
      </c>
      <c r="AH16" s="20">
        <f>AH17+AH18+AH19</f>
        <v>4923.1000000000004</v>
      </c>
      <c r="AI16" s="20">
        <f>AI17+AI18+AI19</f>
        <v>5479.5</v>
      </c>
      <c r="AJ16" s="20">
        <f>AJ17+AJ18+AJ19</f>
        <v>5479.5</v>
      </c>
      <c r="AK16" s="20">
        <f>AK17+AK18+AK19</f>
        <v>4853.1000000000004</v>
      </c>
      <c r="AL16" s="20">
        <f>AL17+AL18+AL19+AL20</f>
        <v>4839.3697499999998</v>
      </c>
      <c r="AM16" s="20">
        <f>AM17+AM18+AM19+AM20</f>
        <v>4839.3697499999998</v>
      </c>
      <c r="AN16" s="20">
        <f>AN17+AN18+AN19</f>
        <v>6790.4000000000005</v>
      </c>
      <c r="AO16" s="20">
        <f>AO17+AO18+AO19</f>
        <v>6790.4000000000005</v>
      </c>
      <c r="AP16" s="20">
        <f>AP17+AP18+AP19</f>
        <v>6790.4000000000005</v>
      </c>
      <c r="AQ16" s="20">
        <v>6790.4</v>
      </c>
      <c r="AR16" s="20">
        <v>6790.4</v>
      </c>
      <c r="AS16" s="20">
        <v>6790.4</v>
      </c>
      <c r="AT16" s="20">
        <f>AT17+AT18+AT19+AT20</f>
        <v>6790.4000000000005</v>
      </c>
      <c r="AU16" s="20">
        <f>AU17+AU18+AU19+AU20</f>
        <v>7040.4000000000005</v>
      </c>
      <c r="AV16" s="20">
        <f>AV17+AV18+AV19+AV20</f>
        <v>7729.1224999999995</v>
      </c>
      <c r="AW16" s="20">
        <f>AW17+AW18+AW19+AW20</f>
        <v>7729.1224999999995</v>
      </c>
      <c r="AX16" s="20">
        <f>AX17+AX18+AX19</f>
        <v>7486.8</v>
      </c>
      <c r="AY16" s="20">
        <f>AY17+AY18+AY19</f>
        <v>7896.2</v>
      </c>
      <c r="AZ16" s="20">
        <f>AZ17+AZ18+AZ19</f>
        <v>7896.2</v>
      </c>
      <c r="BA16" s="20">
        <v>8103.5</v>
      </c>
      <c r="BB16" s="20">
        <v>8103.5</v>
      </c>
      <c r="BC16" s="23">
        <f>BC17+BC18+BC19</f>
        <v>8603.5</v>
      </c>
      <c r="BD16" s="20">
        <f>BD17+BD18+BD19</f>
        <v>8603.5</v>
      </c>
      <c r="BE16" s="20">
        <f>BE17+BE18+BE19+BE20</f>
        <v>9350.9953000000005</v>
      </c>
      <c r="BF16" s="20">
        <f>BF17+BF18+BF19+BF20</f>
        <v>9350.9953000000005</v>
      </c>
      <c r="BG16" s="20">
        <f t="shared" ref="BG16:BL16" si="17">BG17+BG18+BG19</f>
        <v>7987.7000000000007</v>
      </c>
      <c r="BH16" s="20">
        <f t="shared" si="17"/>
        <v>8114</v>
      </c>
      <c r="BI16" s="20">
        <f t="shared" si="17"/>
        <v>8114</v>
      </c>
      <c r="BJ16" s="20">
        <f t="shared" si="17"/>
        <v>7987.7000000000007</v>
      </c>
      <c r="BK16" s="20">
        <f t="shared" si="17"/>
        <v>7987.7000000000007</v>
      </c>
      <c r="BL16" s="20">
        <f t="shared" si="17"/>
        <v>8547.2999999999993</v>
      </c>
      <c r="BM16" s="20">
        <v>9628.7000000000007</v>
      </c>
      <c r="BN16" s="20">
        <f>BN17+BN18+BN19+BN20</f>
        <v>9913.1273799999999</v>
      </c>
      <c r="BO16" s="20">
        <f>BO17+BO18+BO19+BO20</f>
        <v>9913.1273799999999</v>
      </c>
      <c r="BP16" s="20">
        <f t="shared" ref="BP16:BU16" si="18">BP17+BP18+BP19</f>
        <v>9916.4</v>
      </c>
      <c r="BQ16" s="20">
        <f t="shared" si="18"/>
        <v>10114.700000000001</v>
      </c>
      <c r="BR16" s="20">
        <f t="shared" si="18"/>
        <v>10114.700000000001</v>
      </c>
      <c r="BS16" s="20">
        <f t="shared" si="18"/>
        <v>9916.4</v>
      </c>
      <c r="BT16" s="20">
        <f t="shared" si="18"/>
        <v>9916.4</v>
      </c>
      <c r="BU16" s="20">
        <f t="shared" si="18"/>
        <v>9916.4</v>
      </c>
      <c r="BV16" s="20">
        <f>BV17+BV18+BV19+BV20</f>
        <v>7404.1</v>
      </c>
      <c r="BW16" s="20">
        <f>BW17+BW18+BW19</f>
        <v>9916.4</v>
      </c>
      <c r="BX16" s="24">
        <f t="shared" si="7"/>
        <v>0</v>
      </c>
      <c r="BY16" s="25">
        <f t="shared" si="8"/>
        <v>100</v>
      </c>
      <c r="BZ16" s="20">
        <v>11215.7</v>
      </c>
      <c r="CA16" s="20">
        <f>CA17+CA18+CA19+CA20</f>
        <v>11107.11132</v>
      </c>
      <c r="CB16" s="20">
        <f>CB17+CB18+CB19+CB20</f>
        <v>11731.72114</v>
      </c>
      <c r="CC16" s="28">
        <f t="shared" si="9"/>
        <v>112.00749586543503</v>
      </c>
      <c r="CD16" s="28">
        <f t="shared" si="10"/>
        <v>112.00749586543503</v>
      </c>
      <c r="CE16" s="28">
        <f t="shared" si="11"/>
        <v>112.04447289166177</v>
      </c>
      <c r="CF16" s="20">
        <f>CF17+CF18+CF19</f>
        <v>10776.2</v>
      </c>
      <c r="CG16" s="20">
        <f>CG17+CG18+CG19</f>
        <v>10776.2</v>
      </c>
      <c r="CH16" s="20">
        <f t="shared" si="12"/>
        <v>0</v>
      </c>
      <c r="CI16" s="20">
        <f t="shared" si="13"/>
        <v>100</v>
      </c>
      <c r="CJ16" s="20">
        <f>CJ17+CJ18+CJ19</f>
        <v>10913.1</v>
      </c>
      <c r="CK16" s="20">
        <f>CK17+CK18+CK19</f>
        <v>12392.6</v>
      </c>
    </row>
    <row r="17" spans="1:89" ht="22.5" hidden="1" customHeight="1">
      <c r="A17" s="34" t="s">
        <v>110</v>
      </c>
      <c r="B17" s="35" t="s">
        <v>111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>
        <v>1686</v>
      </c>
      <c r="W17" s="28">
        <v>1361.6</v>
      </c>
      <c r="X17" s="28">
        <v>1395.64111</v>
      </c>
      <c r="Y17" s="28">
        <v>1395.64111</v>
      </c>
      <c r="Z17" s="28">
        <v>1561.7</v>
      </c>
      <c r="AA17" s="28">
        <v>1561.7</v>
      </c>
      <c r="AB17" s="28">
        <v>2059.7260799999999</v>
      </c>
      <c r="AC17" s="28">
        <v>2059.7260799999999</v>
      </c>
      <c r="AD17" s="28">
        <v>1910</v>
      </c>
      <c r="AE17" s="28">
        <v>2160</v>
      </c>
      <c r="AF17" s="28">
        <v>2398.6550400000001</v>
      </c>
      <c r="AG17" s="28">
        <v>2398.6550400000001</v>
      </c>
      <c r="AH17" s="28">
        <v>1968.3</v>
      </c>
      <c r="AI17" s="28">
        <v>2190.6999999999998</v>
      </c>
      <c r="AJ17" s="28">
        <v>2190.6999999999998</v>
      </c>
      <c r="AK17" s="28">
        <v>2048.3000000000002</v>
      </c>
      <c r="AL17" s="28">
        <v>2232.1000300000001</v>
      </c>
      <c r="AM17" s="28">
        <v>2232.1000300000001</v>
      </c>
      <c r="AN17" s="28">
        <v>2714.8</v>
      </c>
      <c r="AO17" s="28">
        <v>2714.8</v>
      </c>
      <c r="AP17" s="28">
        <v>2714.8</v>
      </c>
      <c r="AQ17" s="28"/>
      <c r="AR17" s="28"/>
      <c r="AS17" s="28"/>
      <c r="AT17" s="28">
        <v>2714.8</v>
      </c>
      <c r="AU17" s="28">
        <v>2964.8</v>
      </c>
      <c r="AV17" s="28">
        <v>3568.2235099999998</v>
      </c>
      <c r="AW17" s="28">
        <v>3568.2235099999998</v>
      </c>
      <c r="AX17" s="28">
        <v>2964.8</v>
      </c>
      <c r="AY17" s="28">
        <v>3064.8</v>
      </c>
      <c r="AZ17" s="28">
        <v>3064.8</v>
      </c>
      <c r="BA17" s="28"/>
      <c r="BB17" s="28"/>
      <c r="BC17" s="36">
        <v>3764.8</v>
      </c>
      <c r="BD17" s="37">
        <v>3764.8</v>
      </c>
      <c r="BE17" s="37">
        <v>4687.7197500000002</v>
      </c>
      <c r="BF17" s="28">
        <v>4687.7197500000002</v>
      </c>
      <c r="BG17" s="37">
        <v>3490.6</v>
      </c>
      <c r="BH17" s="28">
        <v>3545.8</v>
      </c>
      <c r="BI17" s="28">
        <v>3545.8</v>
      </c>
      <c r="BJ17" s="20">
        <v>3490.6</v>
      </c>
      <c r="BK17" s="23">
        <v>3490.6</v>
      </c>
      <c r="BL17" s="37">
        <v>4050.2</v>
      </c>
      <c r="BM17" s="37"/>
      <c r="BN17" s="37">
        <v>5136.5316599999996</v>
      </c>
      <c r="BO17" s="37">
        <v>5136.5316599999996</v>
      </c>
      <c r="BP17" s="37">
        <v>4320</v>
      </c>
      <c r="BQ17" s="28">
        <v>4406</v>
      </c>
      <c r="BR17" s="28">
        <v>4406</v>
      </c>
      <c r="BS17" s="23">
        <v>4320</v>
      </c>
      <c r="BT17" s="28">
        <v>4320</v>
      </c>
      <c r="BU17" s="28">
        <v>4320</v>
      </c>
      <c r="BV17" s="28">
        <v>3842</v>
      </c>
      <c r="BW17" s="28">
        <v>4320</v>
      </c>
      <c r="BX17" s="24">
        <f t="shared" si="7"/>
        <v>0</v>
      </c>
      <c r="BY17" s="25">
        <f t="shared" si="8"/>
        <v>100</v>
      </c>
      <c r="BZ17" s="28"/>
      <c r="CA17" s="37">
        <v>5738.3306400000001</v>
      </c>
      <c r="CB17" s="37">
        <v>5738.3306400000001</v>
      </c>
      <c r="CC17" s="28">
        <f t="shared" si="9"/>
        <v>132.83172777777779</v>
      </c>
      <c r="CD17" s="28">
        <f t="shared" si="10"/>
        <v>132.83172777777779</v>
      </c>
      <c r="CE17" s="28">
        <f t="shared" si="11"/>
        <v>111.71605705629003</v>
      </c>
      <c r="CF17" s="37">
        <v>5304</v>
      </c>
      <c r="CG17" s="37">
        <v>5304</v>
      </c>
      <c r="CH17" s="20">
        <f t="shared" si="12"/>
        <v>0</v>
      </c>
      <c r="CI17" s="20">
        <f t="shared" si="13"/>
        <v>100</v>
      </c>
      <c r="CJ17" s="28">
        <v>5354</v>
      </c>
      <c r="CK17" s="28">
        <v>6100</v>
      </c>
    </row>
    <row r="18" spans="1:89" ht="22.5" hidden="1" customHeight="1">
      <c r="A18" s="34" t="s">
        <v>112</v>
      </c>
      <c r="B18" s="35" t="s">
        <v>113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>
        <v>42</v>
      </c>
      <c r="W18" s="28">
        <v>42</v>
      </c>
      <c r="X18" s="28">
        <v>14.16812</v>
      </c>
      <c r="Y18" s="28">
        <v>14.16812</v>
      </c>
      <c r="Z18" s="28">
        <v>15.8</v>
      </c>
      <c r="AA18" s="28">
        <v>15.8</v>
      </c>
      <c r="AB18" s="28">
        <v>19.836559999999999</v>
      </c>
      <c r="AC18" s="28">
        <v>19.836559999999999</v>
      </c>
      <c r="AD18" s="28">
        <v>16</v>
      </c>
      <c r="AE18" s="28">
        <v>16</v>
      </c>
      <c r="AF18" s="28">
        <v>17.630739999999999</v>
      </c>
      <c r="AG18" s="28">
        <v>17.630739999999999</v>
      </c>
      <c r="AH18" s="28">
        <v>17.2</v>
      </c>
      <c r="AI18" s="28">
        <v>19.2</v>
      </c>
      <c r="AJ18" s="28">
        <v>19.2</v>
      </c>
      <c r="AK18" s="28">
        <v>17.2</v>
      </c>
      <c r="AL18" s="28">
        <v>15.965590000000001</v>
      </c>
      <c r="AM18" s="28">
        <v>15.965590000000001</v>
      </c>
      <c r="AN18" s="28">
        <v>23.8</v>
      </c>
      <c r="AO18" s="28">
        <v>23.8</v>
      </c>
      <c r="AP18" s="28">
        <v>23.8</v>
      </c>
      <c r="AQ18" s="28"/>
      <c r="AR18" s="28"/>
      <c r="AS18" s="28"/>
      <c r="AT18" s="28">
        <v>23.8</v>
      </c>
      <c r="AU18" s="28">
        <v>23.8</v>
      </c>
      <c r="AV18" s="28">
        <v>25.094360000000002</v>
      </c>
      <c r="AW18" s="28">
        <v>25.094360000000002</v>
      </c>
      <c r="AX18" s="28">
        <v>25</v>
      </c>
      <c r="AY18" s="28">
        <v>25.5</v>
      </c>
      <c r="AZ18" s="28">
        <v>25.5</v>
      </c>
      <c r="BA18" s="28"/>
      <c r="BB18" s="28"/>
      <c r="BC18" s="36">
        <v>25</v>
      </c>
      <c r="BD18" s="37">
        <v>25</v>
      </c>
      <c r="BE18" s="37">
        <v>25.320959999999999</v>
      </c>
      <c r="BF18" s="28">
        <v>25.320959999999999</v>
      </c>
      <c r="BG18" s="37">
        <v>24</v>
      </c>
      <c r="BH18" s="28">
        <v>24.4</v>
      </c>
      <c r="BI18" s="28">
        <v>24.4</v>
      </c>
      <c r="BJ18" s="20">
        <v>24</v>
      </c>
      <c r="BK18" s="23">
        <v>24</v>
      </c>
      <c r="BL18" s="37">
        <v>24</v>
      </c>
      <c r="BM18" s="37"/>
      <c r="BN18" s="37">
        <v>26.82762</v>
      </c>
      <c r="BO18" s="37">
        <v>26.82762</v>
      </c>
      <c r="BP18" s="37">
        <v>26</v>
      </c>
      <c r="BQ18" s="28">
        <v>26.3</v>
      </c>
      <c r="BR18" s="28">
        <v>26.3</v>
      </c>
      <c r="BS18" s="23">
        <v>26</v>
      </c>
      <c r="BT18" s="28">
        <v>26</v>
      </c>
      <c r="BU18" s="28">
        <v>26</v>
      </c>
      <c r="BV18" s="28">
        <v>22</v>
      </c>
      <c r="BW18" s="28">
        <v>26</v>
      </c>
      <c r="BX18" s="24">
        <f t="shared" si="7"/>
        <v>0</v>
      </c>
      <c r="BY18" s="25">
        <f t="shared" si="8"/>
        <v>100</v>
      </c>
      <c r="BZ18" s="28"/>
      <c r="CA18" s="37">
        <v>33.155259999999998</v>
      </c>
      <c r="CB18" s="37">
        <v>33.155259999999998</v>
      </c>
      <c r="CC18" s="28">
        <f t="shared" si="9"/>
        <v>127.52023076923076</v>
      </c>
      <c r="CD18" s="28">
        <f t="shared" si="10"/>
        <v>127.52023076923076</v>
      </c>
      <c r="CE18" s="28">
        <f t="shared" si="11"/>
        <v>123.58628905583127</v>
      </c>
      <c r="CF18" s="37">
        <v>29</v>
      </c>
      <c r="CG18" s="37">
        <v>29</v>
      </c>
      <c r="CH18" s="20">
        <f t="shared" si="12"/>
        <v>0</v>
      </c>
      <c r="CI18" s="20">
        <f t="shared" si="13"/>
        <v>100</v>
      </c>
      <c r="CJ18" s="28">
        <v>30</v>
      </c>
      <c r="CK18" s="28">
        <v>32</v>
      </c>
    </row>
    <row r="19" spans="1:89" ht="22.5" hidden="1" customHeight="1">
      <c r="A19" s="34" t="s">
        <v>114</v>
      </c>
      <c r="B19" s="35" t="s">
        <v>115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>
        <v>2487</v>
      </c>
      <c r="W19" s="28">
        <v>2077.3000000000002</v>
      </c>
      <c r="X19" s="28">
        <v>2257.0454599999998</v>
      </c>
      <c r="Y19" s="28">
        <v>2257.0454599999998</v>
      </c>
      <c r="Z19" s="28">
        <v>2366.1999999999998</v>
      </c>
      <c r="AA19" s="28">
        <v>2366.1999999999998</v>
      </c>
      <c r="AB19" s="28">
        <v>3004.6584200000002</v>
      </c>
      <c r="AC19" s="28">
        <v>3004.6584200000002</v>
      </c>
      <c r="AD19" s="28">
        <v>2850.3</v>
      </c>
      <c r="AE19" s="28">
        <v>3000.3</v>
      </c>
      <c r="AF19" s="28">
        <v>3204.6112899999998</v>
      </c>
      <c r="AG19" s="28">
        <v>3204.6112899999998</v>
      </c>
      <c r="AH19" s="28">
        <v>2937.6</v>
      </c>
      <c r="AI19" s="28">
        <v>3269.6</v>
      </c>
      <c r="AJ19" s="28">
        <v>3269.6</v>
      </c>
      <c r="AK19" s="28">
        <v>2787.6</v>
      </c>
      <c r="AL19" s="28">
        <v>3002.8016699999998</v>
      </c>
      <c r="AM19" s="28">
        <v>3002.8016699999998</v>
      </c>
      <c r="AN19" s="28">
        <v>4051.8</v>
      </c>
      <c r="AO19" s="28">
        <v>4051.8</v>
      </c>
      <c r="AP19" s="28">
        <v>4051.8</v>
      </c>
      <c r="AQ19" s="28"/>
      <c r="AR19" s="28"/>
      <c r="AS19" s="28"/>
      <c r="AT19" s="28">
        <v>4051.8</v>
      </c>
      <c r="AU19" s="28">
        <v>4051.8</v>
      </c>
      <c r="AV19" s="28">
        <v>4744.2783600000002</v>
      </c>
      <c r="AW19" s="28">
        <v>4744.2783600000002</v>
      </c>
      <c r="AX19" s="28">
        <v>4497</v>
      </c>
      <c r="AY19" s="28">
        <v>4805.8999999999996</v>
      </c>
      <c r="AZ19" s="28">
        <v>4805.8999999999996</v>
      </c>
      <c r="BA19" s="28"/>
      <c r="BB19" s="28"/>
      <c r="BC19" s="36">
        <v>4813.7</v>
      </c>
      <c r="BD19" s="37">
        <v>4813.7</v>
      </c>
      <c r="BE19" s="37">
        <v>5175.7719999999999</v>
      </c>
      <c r="BF19" s="28">
        <v>4637.9545900000003</v>
      </c>
      <c r="BG19" s="37">
        <v>4473.1000000000004</v>
      </c>
      <c r="BH19" s="28">
        <v>4543.8</v>
      </c>
      <c r="BI19" s="28">
        <v>4543.8</v>
      </c>
      <c r="BJ19" s="20">
        <v>4473.1000000000004</v>
      </c>
      <c r="BK19" s="23">
        <v>4473.1000000000004</v>
      </c>
      <c r="BL19" s="37">
        <v>4473.1000000000004</v>
      </c>
      <c r="BM19" s="37"/>
      <c r="BN19" s="37">
        <v>5309.0062099999996</v>
      </c>
      <c r="BO19" s="37">
        <v>5309.0062099999996</v>
      </c>
      <c r="BP19" s="37">
        <v>5570.4</v>
      </c>
      <c r="BQ19" s="28">
        <v>5682.4</v>
      </c>
      <c r="BR19" s="28">
        <v>5682.4</v>
      </c>
      <c r="BS19" s="23">
        <v>5570.4</v>
      </c>
      <c r="BT19" s="28">
        <v>5570.4</v>
      </c>
      <c r="BU19" s="28">
        <v>5570.4</v>
      </c>
      <c r="BV19" s="28">
        <v>4036</v>
      </c>
      <c r="BW19" s="28">
        <v>5570.4</v>
      </c>
      <c r="BX19" s="24">
        <f t="shared" si="7"/>
        <v>0</v>
      </c>
      <c r="BY19" s="25">
        <f t="shared" si="8"/>
        <v>100</v>
      </c>
      <c r="BZ19" s="28"/>
      <c r="CA19" s="37">
        <v>5960.23524</v>
      </c>
      <c r="CB19" s="37">
        <v>5960.23524</v>
      </c>
      <c r="CC19" s="28">
        <f t="shared" si="9"/>
        <v>106.99833476949591</v>
      </c>
      <c r="CD19" s="28">
        <f t="shared" si="10"/>
        <v>106.99833476949591</v>
      </c>
      <c r="CE19" s="28">
        <f t="shared" si="11"/>
        <v>112.26649591732161</v>
      </c>
      <c r="CF19" s="37">
        <v>5443.2</v>
      </c>
      <c r="CG19" s="37">
        <v>5443.2</v>
      </c>
      <c r="CH19" s="20">
        <f t="shared" si="12"/>
        <v>0</v>
      </c>
      <c r="CI19" s="20">
        <f t="shared" si="13"/>
        <v>100</v>
      </c>
      <c r="CJ19" s="28">
        <v>5529.1</v>
      </c>
      <c r="CK19" s="28">
        <v>6260.6</v>
      </c>
    </row>
    <row r="20" spans="1:89" ht="22.5" hidden="1" customHeight="1">
      <c r="A20" s="34" t="s">
        <v>116</v>
      </c>
      <c r="B20" s="35" t="s">
        <v>117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>
        <v>-270.30268999999998</v>
      </c>
      <c r="Y20" s="28">
        <v>-270.30268999999998</v>
      </c>
      <c r="Z20" s="28"/>
      <c r="AA20" s="28"/>
      <c r="AB20" s="28">
        <v>-461.49556999999999</v>
      </c>
      <c r="AC20" s="28">
        <v>-461.49556999999999</v>
      </c>
      <c r="AD20" s="28"/>
      <c r="AE20" s="28"/>
      <c r="AF20" s="28">
        <v>-351.24898000000002</v>
      </c>
      <c r="AG20" s="28">
        <v>-351.24898000000002</v>
      </c>
      <c r="AH20" s="28"/>
      <c r="AI20" s="28"/>
      <c r="AJ20" s="28"/>
      <c r="AK20" s="28"/>
      <c r="AL20" s="28">
        <v>-411.49754000000001</v>
      </c>
      <c r="AM20" s="28">
        <v>-411.49754000000001</v>
      </c>
      <c r="AN20" s="28"/>
      <c r="AO20" s="28"/>
      <c r="AP20" s="28"/>
      <c r="AQ20" s="28"/>
      <c r="AR20" s="28"/>
      <c r="AS20" s="28"/>
      <c r="AT20" s="28">
        <v>0</v>
      </c>
      <c r="AU20" s="28">
        <v>0</v>
      </c>
      <c r="AV20" s="28">
        <v>-608.47373000000005</v>
      </c>
      <c r="AW20" s="28">
        <v>-608.47373000000005</v>
      </c>
      <c r="AX20" s="28"/>
      <c r="AY20" s="28"/>
      <c r="AZ20" s="28"/>
      <c r="BA20" s="28"/>
      <c r="BB20" s="28"/>
      <c r="BC20" s="29"/>
      <c r="BD20" s="28"/>
      <c r="BE20" s="28">
        <v>-537.81741</v>
      </c>
      <c r="BF20" s="28">
        <v>0</v>
      </c>
      <c r="BG20" s="28"/>
      <c r="BH20" s="28"/>
      <c r="BI20" s="28"/>
      <c r="BJ20" s="20"/>
      <c r="BK20" s="23"/>
      <c r="BL20" s="28"/>
      <c r="BM20" s="28"/>
      <c r="BN20" s="28">
        <v>-559.23811000000001</v>
      </c>
      <c r="BO20" s="28">
        <v>-559.23811000000001</v>
      </c>
      <c r="BP20" s="28"/>
      <c r="BQ20" s="28"/>
      <c r="BR20" s="28"/>
      <c r="BS20" s="23"/>
      <c r="BT20" s="28"/>
      <c r="BU20" s="28"/>
      <c r="BV20" s="28">
        <v>-495.9</v>
      </c>
      <c r="BW20" s="28"/>
      <c r="BX20" s="24">
        <f t="shared" si="7"/>
        <v>0</v>
      </c>
      <c r="BY20" s="25" t="e">
        <f t="shared" si="8"/>
        <v>#DIV/0!</v>
      </c>
      <c r="BZ20" s="28"/>
      <c r="CA20" s="28">
        <v>-624.60982000000001</v>
      </c>
      <c r="CB20" s="28"/>
      <c r="CC20" s="28" t="e">
        <f t="shared" si="9"/>
        <v>#DIV/0!</v>
      </c>
      <c r="CD20" s="28" t="e">
        <f t="shared" si="10"/>
        <v>#DIV/0!</v>
      </c>
      <c r="CE20" s="28">
        <f t="shared" si="11"/>
        <v>111.68942331201283</v>
      </c>
      <c r="CF20" s="28"/>
      <c r="CG20" s="28"/>
      <c r="CH20" s="20">
        <f t="shared" si="12"/>
        <v>0</v>
      </c>
      <c r="CI20" s="20" t="e">
        <f t="shared" si="13"/>
        <v>#DIV/0!</v>
      </c>
      <c r="CJ20" s="28"/>
      <c r="CK20" s="28"/>
    </row>
    <row r="21" spans="1:89" s="39" customFormat="1" ht="22.5" customHeight="1">
      <c r="A21" s="18" t="s">
        <v>118</v>
      </c>
      <c r="B21" s="38" t="s">
        <v>119</v>
      </c>
      <c r="C21" s="20">
        <v>0.66779999999999995</v>
      </c>
      <c r="D21" s="20">
        <v>0</v>
      </c>
      <c r="E21" s="20">
        <v>0.3</v>
      </c>
      <c r="F21" s="20">
        <v>0.3</v>
      </c>
      <c r="G21" s="20">
        <v>0</v>
      </c>
      <c r="H21" s="20">
        <v>0.5</v>
      </c>
      <c r="I21" s="20">
        <v>0.5</v>
      </c>
      <c r="J21" s="20">
        <v>0</v>
      </c>
      <c r="K21" s="20">
        <v>9.5</v>
      </c>
      <c r="L21" s="20">
        <f>9.469+0.245</f>
        <v>9.7139999999999986</v>
      </c>
      <c r="M21" s="20">
        <f>9.469+0.245</f>
        <v>9.7139999999999986</v>
      </c>
      <c r="N21" s="20">
        <v>0</v>
      </c>
      <c r="O21" s="20">
        <v>0</v>
      </c>
      <c r="P21" s="20">
        <v>0.1</v>
      </c>
      <c r="Q21" s="20">
        <v>0.1</v>
      </c>
      <c r="R21" s="20">
        <v>0</v>
      </c>
      <c r="S21" s="20">
        <v>13.2</v>
      </c>
      <c r="T21" s="20">
        <f>12.1515+1+7.5/1000</f>
        <v>13.159000000000001</v>
      </c>
      <c r="U21" s="20">
        <v>13.159000000000001</v>
      </c>
      <c r="V21" s="20">
        <v>5</v>
      </c>
      <c r="W21" s="20">
        <v>47.8</v>
      </c>
      <c r="X21" s="20">
        <v>47.876620000000003</v>
      </c>
      <c r="Y21" s="20">
        <v>47.876620000000003</v>
      </c>
      <c r="Z21" s="20">
        <v>16</v>
      </c>
      <c r="AA21" s="20">
        <v>27.8</v>
      </c>
      <c r="AB21" s="20">
        <f>20.537+0.30718+7.2731</f>
        <v>28.117279999999997</v>
      </c>
      <c r="AC21" s="20">
        <f>20.537+0.30718+7.2731</f>
        <v>28.117279999999997</v>
      </c>
      <c r="AD21" s="20">
        <v>10</v>
      </c>
      <c r="AE21" s="20">
        <v>10</v>
      </c>
      <c r="AF21" s="20">
        <v>11.41854</v>
      </c>
      <c r="AG21" s="20">
        <v>11.41854</v>
      </c>
      <c r="AH21" s="20">
        <v>15</v>
      </c>
      <c r="AI21" s="20">
        <v>16</v>
      </c>
      <c r="AJ21" s="20">
        <v>18</v>
      </c>
      <c r="AK21" s="20">
        <v>3</v>
      </c>
      <c r="AL21" s="20">
        <v>2.6288100000000001</v>
      </c>
      <c r="AM21" s="20">
        <v>2.6288100000000001</v>
      </c>
      <c r="AN21" s="20">
        <v>5</v>
      </c>
      <c r="AO21" s="20">
        <v>5</v>
      </c>
      <c r="AP21" s="20">
        <v>5</v>
      </c>
      <c r="AQ21" s="20">
        <v>5</v>
      </c>
      <c r="AR21" s="20">
        <v>84.4</v>
      </c>
      <c r="AS21" s="20">
        <v>84.4</v>
      </c>
      <c r="AT21" s="20">
        <v>78.400000000000006</v>
      </c>
      <c r="AU21" s="20">
        <v>85.4</v>
      </c>
      <c r="AV21" s="20">
        <f>83.5525+1.60452+0.12859</f>
        <v>85.285609999999991</v>
      </c>
      <c r="AW21" s="20">
        <v>85.285610000000005</v>
      </c>
      <c r="AX21" s="20">
        <v>5</v>
      </c>
      <c r="AY21" s="20">
        <v>5</v>
      </c>
      <c r="AZ21" s="20">
        <v>5</v>
      </c>
      <c r="BA21" s="20">
        <v>5</v>
      </c>
      <c r="BB21" s="20">
        <v>5</v>
      </c>
      <c r="BC21" s="23">
        <v>76.599999999999994</v>
      </c>
      <c r="BD21" s="20">
        <v>76.599999999999994</v>
      </c>
      <c r="BE21" s="20">
        <v>76.665229999999994</v>
      </c>
      <c r="BF21" s="20">
        <v>76.665229999999994</v>
      </c>
      <c r="BG21" s="20">
        <v>12</v>
      </c>
      <c r="BH21" s="20">
        <v>12</v>
      </c>
      <c r="BI21" s="20">
        <v>12</v>
      </c>
      <c r="BJ21" s="20">
        <v>12</v>
      </c>
      <c r="BK21" s="23">
        <v>12</v>
      </c>
      <c r="BL21" s="20">
        <v>46.3</v>
      </c>
      <c r="BM21" s="20">
        <v>3.8</v>
      </c>
      <c r="BN21" s="20">
        <v>46.682580000000002</v>
      </c>
      <c r="BO21" s="20">
        <v>46.682580000000002</v>
      </c>
      <c r="BP21" s="20">
        <v>12</v>
      </c>
      <c r="BQ21" s="20">
        <v>12</v>
      </c>
      <c r="BR21" s="20">
        <v>12</v>
      </c>
      <c r="BS21" s="23">
        <v>12</v>
      </c>
      <c r="BT21" s="20">
        <v>29</v>
      </c>
      <c r="BU21" s="20">
        <v>29</v>
      </c>
      <c r="BV21" s="20">
        <v>30.4</v>
      </c>
      <c r="BW21" s="20">
        <v>42.3</v>
      </c>
      <c r="BX21" s="24">
        <f t="shared" si="7"/>
        <v>30.299999999999997</v>
      </c>
      <c r="BY21" s="25">
        <f t="shared" si="8"/>
        <v>352.5</v>
      </c>
      <c r="BZ21" s="20">
        <v>42.3</v>
      </c>
      <c r="CA21" s="20">
        <v>42.557160000000003</v>
      </c>
      <c r="CB21" s="20">
        <v>42.557160000000003</v>
      </c>
      <c r="CC21" s="28">
        <f t="shared" si="9"/>
        <v>354.64300000000003</v>
      </c>
      <c r="CD21" s="28">
        <f t="shared" si="10"/>
        <v>100.60794326241135</v>
      </c>
      <c r="CE21" s="28">
        <f t="shared" si="11"/>
        <v>91.162827761447645</v>
      </c>
      <c r="CF21" s="20">
        <v>20</v>
      </c>
      <c r="CG21" s="20">
        <v>20</v>
      </c>
      <c r="CH21" s="20">
        <f t="shared" si="12"/>
        <v>0</v>
      </c>
      <c r="CI21" s="20">
        <f t="shared" si="13"/>
        <v>100</v>
      </c>
      <c r="CJ21" s="20">
        <v>22</v>
      </c>
      <c r="CK21" s="20">
        <v>25</v>
      </c>
    </row>
    <row r="22" spans="1:89" ht="22.5" customHeight="1">
      <c r="A22" s="18" t="s">
        <v>120</v>
      </c>
      <c r="B22" s="19" t="s">
        <v>121</v>
      </c>
      <c r="C22" s="20">
        <f t="shared" ref="C22:AG22" si="19">C29+C23</f>
        <v>242.87862000000001</v>
      </c>
      <c r="D22" s="20">
        <f t="shared" si="19"/>
        <v>694</v>
      </c>
      <c r="E22" s="20">
        <f t="shared" si="19"/>
        <v>694</v>
      </c>
      <c r="F22" s="20">
        <f t="shared" si="19"/>
        <v>400.93340999999998</v>
      </c>
      <c r="G22" s="20">
        <f t="shared" si="19"/>
        <v>632</v>
      </c>
      <c r="H22" s="20">
        <f t="shared" si="19"/>
        <v>764.3</v>
      </c>
      <c r="I22" s="20">
        <f t="shared" si="19"/>
        <v>769.46163999999987</v>
      </c>
      <c r="J22" s="20">
        <f t="shared" si="19"/>
        <v>387</v>
      </c>
      <c r="K22" s="20">
        <f t="shared" si="19"/>
        <v>531</v>
      </c>
      <c r="L22" s="20">
        <f t="shared" si="19"/>
        <v>515.18920000000003</v>
      </c>
      <c r="M22" s="20">
        <f t="shared" si="19"/>
        <v>506.52123</v>
      </c>
      <c r="N22" s="20">
        <f t="shared" si="19"/>
        <v>792</v>
      </c>
      <c r="O22" s="20">
        <f t="shared" si="19"/>
        <v>792</v>
      </c>
      <c r="P22" s="20">
        <f t="shared" si="19"/>
        <v>754.62914000000001</v>
      </c>
      <c r="Q22" s="20">
        <f t="shared" si="19"/>
        <v>754.62914000000001</v>
      </c>
      <c r="R22" s="20">
        <f t="shared" si="19"/>
        <v>545</v>
      </c>
      <c r="S22" s="20">
        <f t="shared" si="19"/>
        <v>1260.0999999999999</v>
      </c>
      <c r="T22" s="20">
        <f t="shared" si="19"/>
        <v>1260.34384</v>
      </c>
      <c r="U22" s="20">
        <f t="shared" si="19"/>
        <v>1260.34384</v>
      </c>
      <c r="V22" s="20">
        <f t="shared" si="19"/>
        <v>1070</v>
      </c>
      <c r="W22" s="20">
        <f t="shared" si="19"/>
        <v>1992</v>
      </c>
      <c r="X22" s="20">
        <f t="shared" si="19"/>
        <v>2006.4058199999999</v>
      </c>
      <c r="Y22" s="20">
        <f t="shared" si="19"/>
        <v>1998.1884700000001</v>
      </c>
      <c r="Z22" s="20">
        <f t="shared" si="19"/>
        <v>1137</v>
      </c>
      <c r="AA22" s="20">
        <f t="shared" si="19"/>
        <v>1982.3</v>
      </c>
      <c r="AB22" s="20">
        <f t="shared" si="19"/>
        <v>2107.1220399999997</v>
      </c>
      <c r="AC22" s="20">
        <f t="shared" si="19"/>
        <v>2217.1391400000002</v>
      </c>
      <c r="AD22" s="20">
        <f t="shared" si="19"/>
        <v>1510</v>
      </c>
      <c r="AE22" s="20">
        <f t="shared" si="19"/>
        <v>1965</v>
      </c>
      <c r="AF22" s="20">
        <f t="shared" si="19"/>
        <v>2058.3388800000002</v>
      </c>
      <c r="AG22" s="20">
        <f t="shared" si="19"/>
        <v>2252.4068400000001</v>
      </c>
      <c r="AH22" s="20">
        <f t="shared" ref="AH22:AP22" si="20">AH29+AH23+AH26</f>
        <v>1987</v>
      </c>
      <c r="AI22" s="20">
        <f t="shared" si="20"/>
        <v>1996.2</v>
      </c>
      <c r="AJ22" s="20">
        <f t="shared" si="20"/>
        <v>2010.2</v>
      </c>
      <c r="AK22" s="20">
        <f t="shared" si="20"/>
        <v>1142.4000000000001</v>
      </c>
      <c r="AL22" s="20">
        <f t="shared" si="20"/>
        <v>1176.8465700000002</v>
      </c>
      <c r="AM22" s="20">
        <f t="shared" si="20"/>
        <v>1538.4100100000003</v>
      </c>
      <c r="AN22" s="20">
        <f t="shared" si="20"/>
        <v>1658.2</v>
      </c>
      <c r="AO22" s="20">
        <f t="shared" si="20"/>
        <v>1658.2</v>
      </c>
      <c r="AP22" s="20">
        <f t="shared" si="20"/>
        <v>1658.2</v>
      </c>
      <c r="AQ22" s="20">
        <v>1658.2</v>
      </c>
      <c r="AR22" s="20">
        <v>1658.2</v>
      </c>
      <c r="AS22" s="20">
        <v>1658.2</v>
      </c>
      <c r="AT22" s="20">
        <f t="shared" ref="AT22:AZ22" si="21">AT29+AT23+AT26</f>
        <v>1658.2</v>
      </c>
      <c r="AU22" s="20">
        <f t="shared" si="21"/>
        <v>2101.1999999999998</v>
      </c>
      <c r="AV22" s="20">
        <f t="shared" si="21"/>
        <v>2150.1361299999999</v>
      </c>
      <c r="AW22" s="20">
        <f>AW29+AW23+AW26</f>
        <v>2026.85113</v>
      </c>
      <c r="AX22" s="20">
        <f t="shared" si="21"/>
        <v>1695</v>
      </c>
      <c r="AY22" s="20">
        <f t="shared" si="21"/>
        <v>1710</v>
      </c>
      <c r="AZ22" s="20">
        <f t="shared" si="21"/>
        <v>1720</v>
      </c>
      <c r="BA22" s="20">
        <f>BA29+BA23+BA26-1</f>
        <v>1695</v>
      </c>
      <c r="BB22" s="20">
        <f>BB29+BB23+BB26-2</f>
        <v>1695</v>
      </c>
      <c r="BC22" s="23">
        <f t="shared" ref="BC22:BW22" si="22">BC29+BC23+BC26</f>
        <v>1695</v>
      </c>
      <c r="BD22" s="20">
        <f t="shared" si="22"/>
        <v>2541</v>
      </c>
      <c r="BE22" s="20">
        <f t="shared" si="22"/>
        <v>2756.8085599999999</v>
      </c>
      <c r="BF22" s="20">
        <f t="shared" si="22"/>
        <v>2855.0708100000002</v>
      </c>
      <c r="BG22" s="20">
        <f t="shared" si="22"/>
        <v>1742</v>
      </c>
      <c r="BH22" s="20">
        <f t="shared" si="22"/>
        <v>1765</v>
      </c>
      <c r="BI22" s="20">
        <f t="shared" si="22"/>
        <v>1783</v>
      </c>
      <c r="BJ22" s="20">
        <f t="shared" si="22"/>
        <v>1742</v>
      </c>
      <c r="BK22" s="20">
        <f t="shared" si="22"/>
        <v>1742</v>
      </c>
      <c r="BL22" s="20">
        <f t="shared" si="22"/>
        <v>2449.5</v>
      </c>
      <c r="BM22" s="20">
        <f t="shared" si="22"/>
        <v>2778.8</v>
      </c>
      <c r="BN22" s="20">
        <f t="shared" si="22"/>
        <v>2742.75288</v>
      </c>
      <c r="BO22" s="20">
        <f t="shared" si="22"/>
        <v>3323.4261499999998</v>
      </c>
      <c r="BP22" s="20">
        <f t="shared" si="22"/>
        <v>2088</v>
      </c>
      <c r="BQ22" s="20">
        <f t="shared" si="22"/>
        <v>2145</v>
      </c>
      <c r="BR22" s="20">
        <f t="shared" si="22"/>
        <v>2193</v>
      </c>
      <c r="BS22" s="20">
        <f t="shared" si="22"/>
        <v>2088</v>
      </c>
      <c r="BT22" s="20">
        <f t="shared" si="22"/>
        <v>2088</v>
      </c>
      <c r="BU22" s="20">
        <f t="shared" si="22"/>
        <v>2088</v>
      </c>
      <c r="BV22" s="20">
        <f t="shared" si="22"/>
        <v>874.6</v>
      </c>
      <c r="BW22" s="20">
        <f t="shared" si="22"/>
        <v>2071.1999999999998</v>
      </c>
      <c r="BX22" s="24">
        <f t="shared" si="7"/>
        <v>-16.800000000000182</v>
      </c>
      <c r="BY22" s="25">
        <f t="shared" si="8"/>
        <v>99.195402298850567</v>
      </c>
      <c r="BZ22" s="20">
        <f>BZ29+BZ23+BZ26</f>
        <v>1891</v>
      </c>
      <c r="CA22" s="20">
        <f>CA29+CA23+CA26</f>
        <v>2076.1527900000001</v>
      </c>
      <c r="CB22" s="20">
        <f>CB29+CB23+CB26</f>
        <v>1943.57375</v>
      </c>
      <c r="CC22" s="28">
        <f t="shared" si="9"/>
        <v>99.432604885057472</v>
      </c>
      <c r="CD22" s="28">
        <f t="shared" si="10"/>
        <v>100.23912659327927</v>
      </c>
      <c r="CE22" s="28">
        <f t="shared" si="11"/>
        <v>75.695947860968076</v>
      </c>
      <c r="CF22" s="20">
        <f>CF29+CF23+CF26</f>
        <v>2225</v>
      </c>
      <c r="CG22" s="20">
        <f>CG29+CG23+CG26</f>
        <v>2225</v>
      </c>
      <c r="CH22" s="20">
        <f t="shared" si="12"/>
        <v>0</v>
      </c>
      <c r="CI22" s="20">
        <f t="shared" si="13"/>
        <v>100</v>
      </c>
      <c r="CJ22" s="20">
        <f>CJ29+CJ23+CJ26</f>
        <v>2239</v>
      </c>
      <c r="CK22" s="20">
        <f>CK29+CK23+CK26</f>
        <v>2254</v>
      </c>
    </row>
    <row r="23" spans="1:89" ht="29.25" customHeight="1">
      <c r="A23" s="18" t="s">
        <v>122</v>
      </c>
      <c r="B23" s="19" t="s">
        <v>123</v>
      </c>
      <c r="C23" s="20">
        <f t="shared" ref="C23:AP23" si="23">C24</f>
        <v>112.69597</v>
      </c>
      <c r="D23" s="20">
        <f t="shared" si="23"/>
        <v>365</v>
      </c>
      <c r="E23" s="20">
        <f t="shared" si="23"/>
        <v>365</v>
      </c>
      <c r="F23" s="20">
        <f t="shared" si="23"/>
        <v>242.02986000000001</v>
      </c>
      <c r="G23" s="20">
        <f t="shared" si="23"/>
        <v>300</v>
      </c>
      <c r="H23" s="20">
        <f t="shared" si="23"/>
        <v>605</v>
      </c>
      <c r="I23" s="20">
        <f t="shared" si="23"/>
        <v>610.1957799999999</v>
      </c>
      <c r="J23" s="20">
        <f t="shared" si="23"/>
        <v>250</v>
      </c>
      <c r="K23" s="20">
        <f t="shared" si="23"/>
        <v>400</v>
      </c>
      <c r="L23" s="20">
        <f>L24</f>
        <v>400.00060999999999</v>
      </c>
      <c r="M23" s="20">
        <f>M24</f>
        <v>400.00060999999999</v>
      </c>
      <c r="N23" s="20">
        <f t="shared" si="23"/>
        <v>620</v>
      </c>
      <c r="O23" s="20">
        <f t="shared" si="23"/>
        <v>620</v>
      </c>
      <c r="P23" s="20">
        <f>P24</f>
        <v>391.67778999999996</v>
      </c>
      <c r="Q23" s="20">
        <f>Q24</f>
        <v>391.67778999999996</v>
      </c>
      <c r="R23" s="20">
        <f t="shared" si="23"/>
        <v>400</v>
      </c>
      <c r="S23" s="20">
        <f t="shared" si="23"/>
        <v>256.7</v>
      </c>
      <c r="T23" s="20">
        <f>T24</f>
        <v>256.75448999999998</v>
      </c>
      <c r="U23" s="20">
        <f>U24</f>
        <v>256.75448999999998</v>
      </c>
      <c r="V23" s="20">
        <f t="shared" si="23"/>
        <v>410</v>
      </c>
      <c r="W23" s="20">
        <f t="shared" si="23"/>
        <v>510.6</v>
      </c>
      <c r="X23" s="20">
        <f>X24</f>
        <v>517.86298999999997</v>
      </c>
      <c r="Y23" s="20">
        <f>Y24</f>
        <v>652.49690999999996</v>
      </c>
      <c r="Z23" s="20">
        <f t="shared" si="23"/>
        <v>392</v>
      </c>
      <c r="AA23" s="20">
        <f t="shared" si="23"/>
        <v>1144</v>
      </c>
      <c r="AB23" s="20">
        <f>AB24</f>
        <v>1155.4379999999999</v>
      </c>
      <c r="AC23" s="20">
        <f>AC24</f>
        <v>1276.95272</v>
      </c>
      <c r="AD23" s="20">
        <f t="shared" si="23"/>
        <v>460</v>
      </c>
      <c r="AE23" s="20">
        <f t="shared" si="23"/>
        <v>1130</v>
      </c>
      <c r="AF23" s="20">
        <f t="shared" si="23"/>
        <v>1161.23918</v>
      </c>
      <c r="AG23" s="20">
        <f t="shared" si="23"/>
        <v>1345.4595200000001</v>
      </c>
      <c r="AH23" s="20">
        <f t="shared" si="23"/>
        <v>890</v>
      </c>
      <c r="AI23" s="20">
        <f t="shared" si="23"/>
        <v>896</v>
      </c>
      <c r="AJ23" s="20">
        <f t="shared" si="23"/>
        <v>902</v>
      </c>
      <c r="AK23" s="20">
        <f t="shared" si="23"/>
        <v>485</v>
      </c>
      <c r="AL23" s="20">
        <f t="shared" si="23"/>
        <v>500.55209000000002</v>
      </c>
      <c r="AM23" s="20">
        <f t="shared" si="23"/>
        <v>677.34630000000004</v>
      </c>
      <c r="AN23" s="20">
        <f t="shared" si="23"/>
        <v>670</v>
      </c>
      <c r="AO23" s="20">
        <f t="shared" si="23"/>
        <v>670</v>
      </c>
      <c r="AP23" s="20">
        <f t="shared" si="23"/>
        <v>670</v>
      </c>
      <c r="AQ23" s="20">
        <v>670</v>
      </c>
      <c r="AR23" s="20">
        <v>670</v>
      </c>
      <c r="AS23" s="20">
        <v>670</v>
      </c>
      <c r="AT23" s="20">
        <f>AT24</f>
        <v>670</v>
      </c>
      <c r="AU23" s="20">
        <f>AU24</f>
        <v>850</v>
      </c>
      <c r="AV23" s="20">
        <f>AV24</f>
        <v>877.85059000000001</v>
      </c>
      <c r="AW23" s="20">
        <f>AW24</f>
        <v>1000.12789</v>
      </c>
      <c r="AX23" s="20">
        <f t="shared" ref="AX23:BG23" si="24">AX24</f>
        <v>730</v>
      </c>
      <c r="AY23" s="20">
        <f>AY24</f>
        <v>740</v>
      </c>
      <c r="AZ23" s="20">
        <f>AZ24</f>
        <v>745</v>
      </c>
      <c r="BA23" s="20">
        <f t="shared" si="24"/>
        <v>731</v>
      </c>
      <c r="BB23" s="20">
        <f t="shared" si="24"/>
        <v>732</v>
      </c>
      <c r="BC23" s="23">
        <f t="shared" si="24"/>
        <v>730</v>
      </c>
      <c r="BD23" s="20">
        <f t="shared" si="24"/>
        <v>1480</v>
      </c>
      <c r="BE23" s="20">
        <f>BE24</f>
        <v>1612.6362300000001</v>
      </c>
      <c r="BF23" s="20">
        <f>BF24</f>
        <v>1859.7434000000001</v>
      </c>
      <c r="BG23" s="20">
        <f t="shared" si="24"/>
        <v>830</v>
      </c>
      <c r="BH23" s="20">
        <f t="shared" ref="BH23:BO23" si="25">BH24</f>
        <v>840</v>
      </c>
      <c r="BI23" s="20">
        <f t="shared" si="25"/>
        <v>850</v>
      </c>
      <c r="BJ23" s="20">
        <f t="shared" si="25"/>
        <v>830</v>
      </c>
      <c r="BK23" s="20">
        <f t="shared" si="25"/>
        <v>830</v>
      </c>
      <c r="BL23" s="20">
        <f t="shared" si="25"/>
        <v>1639.6</v>
      </c>
      <c r="BM23" s="20">
        <f t="shared" si="25"/>
        <v>1847</v>
      </c>
      <c r="BN23" s="20">
        <f t="shared" si="25"/>
        <v>1861.07908</v>
      </c>
      <c r="BO23" s="20">
        <f t="shared" si="25"/>
        <v>1730.0552499999999</v>
      </c>
      <c r="BP23" s="20">
        <f t="shared" ref="BP23:BV23" si="26">BP24</f>
        <v>1350</v>
      </c>
      <c r="BQ23" s="20">
        <f t="shared" si="26"/>
        <v>1400</v>
      </c>
      <c r="BR23" s="20">
        <f t="shared" si="26"/>
        <v>1440</v>
      </c>
      <c r="BS23" s="20">
        <f t="shared" si="26"/>
        <v>1350</v>
      </c>
      <c r="BT23" s="20">
        <f t="shared" si="26"/>
        <v>1350</v>
      </c>
      <c r="BU23" s="20">
        <f t="shared" si="26"/>
        <v>1350</v>
      </c>
      <c r="BV23" s="20">
        <f t="shared" si="26"/>
        <v>934.5</v>
      </c>
      <c r="BW23" s="20">
        <f>BW24</f>
        <v>1700</v>
      </c>
      <c r="BX23" s="24">
        <f t="shared" si="7"/>
        <v>350</v>
      </c>
      <c r="BY23" s="25">
        <f t="shared" si="8"/>
        <v>125.92592592592592</v>
      </c>
      <c r="BZ23" s="20">
        <v>1700</v>
      </c>
      <c r="CA23" s="20">
        <f>CA24</f>
        <v>1829.3804299999999</v>
      </c>
      <c r="CB23" s="20">
        <f>CB24</f>
        <v>1698.8858399999999</v>
      </c>
      <c r="CC23" s="28">
        <f t="shared" si="9"/>
        <v>135.50966148148146</v>
      </c>
      <c r="CD23" s="28">
        <f t="shared" si="10"/>
        <v>107.61061352941176</v>
      </c>
      <c r="CE23" s="28">
        <f t="shared" si="11"/>
        <v>98.296759641186227</v>
      </c>
      <c r="CF23" s="20">
        <f>CF24</f>
        <v>1500</v>
      </c>
      <c r="CG23" s="20">
        <f>CG24</f>
        <v>1500</v>
      </c>
      <c r="CH23" s="20">
        <f t="shared" si="12"/>
        <v>0</v>
      </c>
      <c r="CI23" s="20">
        <f t="shared" si="13"/>
        <v>100</v>
      </c>
      <c r="CJ23" s="20">
        <f>CJ24</f>
        <v>1510</v>
      </c>
      <c r="CK23" s="20">
        <f>CK24</f>
        <v>1520</v>
      </c>
    </row>
    <row r="24" spans="1:89" ht="22.5" hidden="1" customHeight="1">
      <c r="A24" s="10" t="s">
        <v>124</v>
      </c>
      <c r="B24" s="40" t="s">
        <v>125</v>
      </c>
      <c r="C24" s="28">
        <v>112.69597</v>
      </c>
      <c r="D24" s="28">
        <v>365</v>
      </c>
      <c r="E24" s="28">
        <v>365</v>
      </c>
      <c r="F24" s="28">
        <f>236.03484+5.99502</f>
        <v>242.02986000000001</v>
      </c>
      <c r="G24" s="28">
        <v>300</v>
      </c>
      <c r="H24" s="28">
        <v>605</v>
      </c>
      <c r="I24" s="28">
        <f>592.69351+17.50227</f>
        <v>610.1957799999999</v>
      </c>
      <c r="J24" s="28">
        <v>250</v>
      </c>
      <c r="K24" s="28">
        <v>400</v>
      </c>
      <c r="L24" s="28">
        <f>390.60427+9.39634</f>
        <v>400.00060999999999</v>
      </c>
      <c r="M24" s="28">
        <f>390.60427+9.39634</f>
        <v>400.00060999999999</v>
      </c>
      <c r="N24" s="28">
        <v>620</v>
      </c>
      <c r="O24" s="28">
        <v>620</v>
      </c>
      <c r="P24" s="28">
        <f>381.00937+10.03475+0.63367</f>
        <v>391.67778999999996</v>
      </c>
      <c r="Q24" s="28">
        <f>381.00937+10.03475+0.63367</f>
        <v>391.67778999999996</v>
      </c>
      <c r="R24" s="28">
        <v>400</v>
      </c>
      <c r="S24" s="28">
        <v>256.7</v>
      </c>
      <c r="T24" s="28">
        <f>1.36/1000+243.82709+12.29829+0.62775</f>
        <v>256.75448999999998</v>
      </c>
      <c r="U24" s="28">
        <v>256.75448999999998</v>
      </c>
      <c r="V24" s="28">
        <v>410</v>
      </c>
      <c r="W24" s="28">
        <v>510.6</v>
      </c>
      <c r="X24" s="28">
        <v>517.86298999999997</v>
      </c>
      <c r="Y24" s="28">
        <v>652.49690999999996</v>
      </c>
      <c r="Z24" s="28">
        <v>392</v>
      </c>
      <c r="AA24" s="28">
        <v>1144</v>
      </c>
      <c r="AB24" s="28">
        <f>1147.24199+8.19601</f>
        <v>1155.4379999999999</v>
      </c>
      <c r="AC24" s="28">
        <v>1276.95272</v>
      </c>
      <c r="AD24" s="28">
        <v>460</v>
      </c>
      <c r="AE24" s="28">
        <v>1130</v>
      </c>
      <c r="AF24" s="28">
        <v>1161.23918</v>
      </c>
      <c r="AG24" s="28">
        <v>1345.4595200000001</v>
      </c>
      <c r="AH24" s="28">
        <v>890</v>
      </c>
      <c r="AI24" s="28">
        <v>896</v>
      </c>
      <c r="AJ24" s="28">
        <v>902</v>
      </c>
      <c r="AK24" s="28">
        <v>485</v>
      </c>
      <c r="AL24" s="28">
        <v>500.55209000000002</v>
      </c>
      <c r="AM24" s="28">
        <v>677.34630000000004</v>
      </c>
      <c r="AN24" s="28">
        <v>670</v>
      </c>
      <c r="AO24" s="28">
        <v>670</v>
      </c>
      <c r="AP24" s="28">
        <v>670</v>
      </c>
      <c r="AQ24" s="28"/>
      <c r="AR24" s="28"/>
      <c r="AS24" s="28"/>
      <c r="AT24" s="28">
        <v>670</v>
      </c>
      <c r="AU24" s="28">
        <v>850</v>
      </c>
      <c r="AV24" s="28">
        <f>887.92015-10.06956</f>
        <v>877.85059000000001</v>
      </c>
      <c r="AW24" s="28">
        <v>1000.12789</v>
      </c>
      <c r="AX24" s="28">
        <v>730</v>
      </c>
      <c r="AY24" s="28">
        <v>740</v>
      </c>
      <c r="AZ24" s="28">
        <v>745</v>
      </c>
      <c r="BA24" s="28">
        <v>731</v>
      </c>
      <c r="BB24" s="28">
        <v>732</v>
      </c>
      <c r="BC24" s="28">
        <v>730</v>
      </c>
      <c r="BD24" s="28">
        <v>1480</v>
      </c>
      <c r="BE24" s="28">
        <v>1612.6362300000001</v>
      </c>
      <c r="BF24" s="28">
        <v>1859.7434000000001</v>
      </c>
      <c r="BG24" s="28">
        <v>830</v>
      </c>
      <c r="BH24" s="28">
        <v>840</v>
      </c>
      <c r="BI24" s="28">
        <v>850</v>
      </c>
      <c r="BJ24" s="20">
        <v>830</v>
      </c>
      <c r="BK24" s="23">
        <v>830</v>
      </c>
      <c r="BL24" s="28">
        <v>1639.6</v>
      </c>
      <c r="BM24" s="28">
        <v>1847</v>
      </c>
      <c r="BN24" s="28">
        <v>1861.07908</v>
      </c>
      <c r="BO24" s="28">
        <v>1730.0552499999999</v>
      </c>
      <c r="BP24" s="28">
        <v>1350</v>
      </c>
      <c r="BQ24" s="28">
        <v>1400</v>
      </c>
      <c r="BR24" s="28">
        <v>1440</v>
      </c>
      <c r="BS24" s="23">
        <v>1350</v>
      </c>
      <c r="BT24" s="28">
        <v>1350</v>
      </c>
      <c r="BU24" s="28">
        <v>1350</v>
      </c>
      <c r="BV24" s="28">
        <v>934.5</v>
      </c>
      <c r="BW24" s="28">
        <v>1700</v>
      </c>
      <c r="BX24" s="24">
        <f t="shared" si="7"/>
        <v>350</v>
      </c>
      <c r="BY24" s="25">
        <f t="shared" si="8"/>
        <v>125.92592592592592</v>
      </c>
      <c r="BZ24" s="28"/>
      <c r="CA24" s="28">
        <v>1829.3804299999999</v>
      </c>
      <c r="CB24" s="28">
        <v>1698.8858399999999</v>
      </c>
      <c r="CC24" s="28">
        <f t="shared" si="9"/>
        <v>135.50966148148146</v>
      </c>
      <c r="CD24" s="28">
        <f t="shared" si="10"/>
        <v>107.61061352941176</v>
      </c>
      <c r="CE24" s="28">
        <f t="shared" si="11"/>
        <v>98.296759641186227</v>
      </c>
      <c r="CF24" s="28">
        <v>1500</v>
      </c>
      <c r="CG24" s="28">
        <v>1500</v>
      </c>
      <c r="CH24" s="20">
        <f t="shared" si="12"/>
        <v>0</v>
      </c>
      <c r="CI24" s="20">
        <f t="shared" si="13"/>
        <v>100</v>
      </c>
      <c r="CJ24" s="28">
        <v>1510</v>
      </c>
      <c r="CK24" s="28">
        <v>1520</v>
      </c>
    </row>
    <row r="25" spans="1:89" ht="22.5" hidden="1" customHeight="1">
      <c r="A25" s="10"/>
      <c r="B25" s="40" t="s">
        <v>126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>
        <v>-277.09775000000002</v>
      </c>
      <c r="AD25" s="28"/>
      <c r="AE25" s="28"/>
      <c r="AF25" s="28"/>
      <c r="AG25" s="28">
        <v>-17.506799999999998</v>
      </c>
      <c r="AH25" s="28"/>
      <c r="AI25" s="28"/>
      <c r="AJ25" s="28"/>
      <c r="AK25" s="28"/>
      <c r="AL25" s="28"/>
      <c r="AM25" s="28">
        <v>-150.89265</v>
      </c>
      <c r="AN25" s="28"/>
      <c r="AO25" s="28"/>
      <c r="AP25" s="28"/>
      <c r="AQ25" s="28"/>
      <c r="AR25" s="28"/>
      <c r="AS25" s="28"/>
      <c r="AT25" s="28"/>
      <c r="AU25" s="28"/>
      <c r="AV25" s="28"/>
      <c r="AW25" s="28">
        <v>-21.101310000000002</v>
      </c>
      <c r="AX25" s="28"/>
      <c r="AY25" s="28"/>
      <c r="AZ25" s="28"/>
      <c r="BA25" s="28"/>
      <c r="BB25" s="28"/>
      <c r="BC25" s="28"/>
      <c r="BD25" s="28"/>
      <c r="BE25" s="28"/>
      <c r="BF25" s="28">
        <v>-4.0508600000000001</v>
      </c>
      <c r="BG25" s="28"/>
      <c r="BH25" s="28"/>
      <c r="BI25" s="28"/>
      <c r="BJ25" s="20"/>
      <c r="BK25" s="23"/>
      <c r="BL25" s="28"/>
      <c r="BM25" s="28"/>
      <c r="BN25" s="28"/>
      <c r="BO25" s="28">
        <v>-2.4590000000000001</v>
      </c>
      <c r="BP25" s="28"/>
      <c r="BQ25" s="28"/>
      <c r="BR25" s="28"/>
      <c r="BS25" s="23"/>
      <c r="BT25" s="28"/>
      <c r="BU25" s="28"/>
      <c r="BV25" s="28"/>
      <c r="BW25" s="28"/>
      <c r="BX25" s="24">
        <f t="shared" si="7"/>
        <v>0</v>
      </c>
      <c r="BY25" s="25" t="e">
        <f t="shared" si="8"/>
        <v>#DIV/0!</v>
      </c>
      <c r="BZ25" s="28"/>
      <c r="CA25" s="28"/>
      <c r="CB25" s="28">
        <v>-1.96072</v>
      </c>
      <c r="CC25" s="28" t="e">
        <f t="shared" si="9"/>
        <v>#DIV/0!</v>
      </c>
      <c r="CD25" s="28" t="e">
        <f t="shared" si="10"/>
        <v>#DIV/0!</v>
      </c>
      <c r="CE25" s="28" t="e">
        <f t="shared" si="11"/>
        <v>#DIV/0!</v>
      </c>
      <c r="CF25" s="28"/>
      <c r="CG25" s="28"/>
      <c r="CH25" s="20">
        <f t="shared" si="12"/>
        <v>0</v>
      </c>
      <c r="CI25" s="20" t="e">
        <f t="shared" si="13"/>
        <v>#DIV/0!</v>
      </c>
      <c r="CJ25" s="28"/>
      <c r="CK25" s="28"/>
    </row>
    <row r="26" spans="1:89" ht="22.5" customHeight="1">
      <c r="A26" s="18" t="s">
        <v>127</v>
      </c>
      <c r="B26" s="19" t="s">
        <v>128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0">
        <v>88.2</v>
      </c>
      <c r="AI26" s="20">
        <v>88.2</v>
      </c>
      <c r="AJ26" s="20">
        <v>88.2</v>
      </c>
      <c r="AK26" s="20">
        <f>AK27+AK28</f>
        <v>108.2</v>
      </c>
      <c r="AL26" s="20">
        <f>AL27+AL28</f>
        <v>110.76734</v>
      </c>
      <c r="AM26" s="20">
        <f>AM27+AM28</f>
        <v>110.76734</v>
      </c>
      <c r="AN26" s="20">
        <v>88.2</v>
      </c>
      <c r="AO26" s="20">
        <v>88.2</v>
      </c>
      <c r="AP26" s="20">
        <v>88.2</v>
      </c>
      <c r="AQ26" s="20">
        <v>88.2</v>
      </c>
      <c r="AR26" s="20">
        <v>88.2</v>
      </c>
      <c r="AS26" s="20">
        <f>88.2</f>
        <v>88.2</v>
      </c>
      <c r="AT26" s="20">
        <f t="shared" ref="AT26:BA26" si="27">AT27+AT28</f>
        <v>88.2</v>
      </c>
      <c r="AU26" s="20">
        <f t="shared" si="27"/>
        <v>105.2</v>
      </c>
      <c r="AV26" s="20">
        <f t="shared" si="27"/>
        <v>116.14733</v>
      </c>
      <c r="AW26" s="20">
        <f>AW27+AW28</f>
        <v>116.14733</v>
      </c>
      <c r="AX26" s="20">
        <f t="shared" si="27"/>
        <v>95</v>
      </c>
      <c r="AY26" s="20">
        <f t="shared" si="27"/>
        <v>95</v>
      </c>
      <c r="AZ26" s="20">
        <f t="shared" si="27"/>
        <v>95</v>
      </c>
      <c r="BA26" s="20">
        <f t="shared" si="27"/>
        <v>95</v>
      </c>
      <c r="BB26" s="20">
        <v>95</v>
      </c>
      <c r="BC26" s="20">
        <f t="shared" ref="BC26:BL26" si="28">BC27+BC28</f>
        <v>95</v>
      </c>
      <c r="BD26" s="20">
        <f t="shared" si="28"/>
        <v>95</v>
      </c>
      <c r="BE26" s="20">
        <f t="shared" si="28"/>
        <v>117.67567</v>
      </c>
      <c r="BF26" s="20">
        <f t="shared" si="28"/>
        <v>117.67567</v>
      </c>
      <c r="BG26" s="20">
        <f t="shared" si="28"/>
        <v>102</v>
      </c>
      <c r="BH26" s="20">
        <f t="shared" si="28"/>
        <v>105</v>
      </c>
      <c r="BI26" s="20">
        <f t="shared" si="28"/>
        <v>108</v>
      </c>
      <c r="BJ26" s="20">
        <f t="shared" si="28"/>
        <v>102</v>
      </c>
      <c r="BK26" s="20">
        <f t="shared" si="28"/>
        <v>102</v>
      </c>
      <c r="BL26" s="20">
        <f t="shared" si="28"/>
        <v>102</v>
      </c>
      <c r="BM26" s="20">
        <v>121.8</v>
      </c>
      <c r="BN26" s="20">
        <f t="shared" ref="BN26:BW26" si="29">BN27+BN28</f>
        <v>120.97854</v>
      </c>
      <c r="BO26" s="20">
        <f t="shared" si="29"/>
        <v>120.97854</v>
      </c>
      <c r="BP26" s="20">
        <f t="shared" si="29"/>
        <v>118</v>
      </c>
      <c r="BQ26" s="20">
        <f t="shared" si="29"/>
        <v>120</v>
      </c>
      <c r="BR26" s="20">
        <f t="shared" si="29"/>
        <v>123</v>
      </c>
      <c r="BS26" s="20">
        <f t="shared" si="29"/>
        <v>118</v>
      </c>
      <c r="BT26" s="20">
        <f t="shared" si="29"/>
        <v>118</v>
      </c>
      <c r="BU26" s="20">
        <f t="shared" si="29"/>
        <v>118</v>
      </c>
      <c r="BV26" s="20">
        <f t="shared" si="29"/>
        <v>54.7</v>
      </c>
      <c r="BW26" s="20">
        <f t="shared" si="29"/>
        <v>118</v>
      </c>
      <c r="BX26" s="24">
        <f t="shared" si="7"/>
        <v>0</v>
      </c>
      <c r="BY26" s="25">
        <f t="shared" si="8"/>
        <v>100</v>
      </c>
      <c r="BZ26" s="20">
        <f>BZ27+BZ28</f>
        <v>118</v>
      </c>
      <c r="CA26" s="20">
        <f>CA27+CA28</f>
        <v>133.64864</v>
      </c>
      <c r="CB26" s="20">
        <f>CB27+CB28</f>
        <v>133.64864</v>
      </c>
      <c r="CC26" s="28">
        <f t="shared" si="9"/>
        <v>113.2615593220339</v>
      </c>
      <c r="CD26" s="28">
        <f t="shared" si="10"/>
        <v>113.2615593220339</v>
      </c>
      <c r="CE26" s="28">
        <f t="shared" si="11"/>
        <v>110.47301447016969</v>
      </c>
      <c r="CF26" s="20">
        <f>CF27+CF28</f>
        <v>120</v>
      </c>
      <c r="CG26" s="20">
        <f>CG27+CG28</f>
        <v>120</v>
      </c>
      <c r="CH26" s="20">
        <f t="shared" si="12"/>
        <v>0</v>
      </c>
      <c r="CI26" s="20">
        <f t="shared" si="13"/>
        <v>100</v>
      </c>
      <c r="CJ26" s="20">
        <f>CJ27+CJ28</f>
        <v>122</v>
      </c>
      <c r="CK26" s="20">
        <f>CK27+CK28</f>
        <v>124</v>
      </c>
    </row>
    <row r="27" spans="1:89" ht="22.5" hidden="1" customHeight="1">
      <c r="A27" s="10" t="s">
        <v>129</v>
      </c>
      <c r="B27" s="41" t="s">
        <v>130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>
        <v>3.2</v>
      </c>
      <c r="AI27" s="28">
        <v>3.2</v>
      </c>
      <c r="AJ27" s="28">
        <v>3.2</v>
      </c>
      <c r="AK27" s="28">
        <v>6.2</v>
      </c>
      <c r="AL27" s="28">
        <v>7.0842599999999996</v>
      </c>
      <c r="AM27" s="28">
        <v>7.0842599999999996</v>
      </c>
      <c r="AN27" s="28">
        <v>6</v>
      </c>
      <c r="AO27" s="28">
        <v>82.2</v>
      </c>
      <c r="AP27" s="28">
        <v>82.2</v>
      </c>
      <c r="AQ27" s="28">
        <v>82.2</v>
      </c>
      <c r="AR27" s="28">
        <v>82.2</v>
      </c>
      <c r="AS27" s="28"/>
      <c r="AT27" s="28">
        <v>6</v>
      </c>
      <c r="AU27" s="28">
        <v>8</v>
      </c>
      <c r="AV27" s="28">
        <f>8.56296+0.16141-0.08944</f>
        <v>8.6349300000000007</v>
      </c>
      <c r="AW27" s="28">
        <v>8.6349300000000007</v>
      </c>
      <c r="AX27" s="28">
        <v>9</v>
      </c>
      <c r="AY27" s="28">
        <v>9</v>
      </c>
      <c r="AZ27" s="28">
        <v>9</v>
      </c>
      <c r="BA27" s="28">
        <v>9</v>
      </c>
      <c r="BB27" s="28">
        <v>9</v>
      </c>
      <c r="BC27" s="28">
        <v>9</v>
      </c>
      <c r="BD27" s="28">
        <v>7.7</v>
      </c>
      <c r="BE27" s="28">
        <v>8.0746599999999997</v>
      </c>
      <c r="BF27" s="28">
        <v>8.0746599999999997</v>
      </c>
      <c r="BG27" s="28">
        <v>9</v>
      </c>
      <c r="BH27" s="28">
        <v>10</v>
      </c>
      <c r="BI27" s="28">
        <v>10</v>
      </c>
      <c r="BJ27" s="20">
        <v>9</v>
      </c>
      <c r="BK27" s="23">
        <v>9</v>
      </c>
      <c r="BL27" s="28">
        <v>9</v>
      </c>
      <c r="BM27" s="28"/>
      <c r="BN27" s="28">
        <v>5.6866000000000003</v>
      </c>
      <c r="BO27" s="28">
        <v>5.6866000000000003</v>
      </c>
      <c r="BP27" s="28">
        <v>9</v>
      </c>
      <c r="BQ27" s="28">
        <v>10</v>
      </c>
      <c r="BR27" s="28">
        <v>10</v>
      </c>
      <c r="BS27" s="23">
        <v>9</v>
      </c>
      <c r="BT27" s="28">
        <v>9</v>
      </c>
      <c r="BU27" s="28">
        <v>9</v>
      </c>
      <c r="BV27" s="28">
        <v>5.5</v>
      </c>
      <c r="BW27" s="28">
        <v>7</v>
      </c>
      <c r="BX27" s="24">
        <f t="shared" si="7"/>
        <v>-2</v>
      </c>
      <c r="BY27" s="25">
        <f t="shared" si="8"/>
        <v>77.777777777777786</v>
      </c>
      <c r="BZ27" s="28">
        <v>9</v>
      </c>
      <c r="CA27" s="28">
        <v>7.2657999999999996</v>
      </c>
      <c r="CB27" s="28">
        <v>7.2657999999999996</v>
      </c>
      <c r="CC27" s="28">
        <f t="shared" si="9"/>
        <v>80.731111111111105</v>
      </c>
      <c r="CD27" s="28">
        <f t="shared" si="10"/>
        <v>103.79714285714286</v>
      </c>
      <c r="CE27" s="28">
        <f t="shared" si="11"/>
        <v>127.77054830654519</v>
      </c>
      <c r="CF27" s="28">
        <v>9</v>
      </c>
      <c r="CG27" s="28">
        <v>9</v>
      </c>
      <c r="CH27" s="20">
        <f t="shared" si="12"/>
        <v>0</v>
      </c>
      <c r="CI27" s="20">
        <f t="shared" si="13"/>
        <v>100</v>
      </c>
      <c r="CJ27" s="28">
        <v>10</v>
      </c>
      <c r="CK27" s="28">
        <v>10</v>
      </c>
    </row>
    <row r="28" spans="1:89" ht="22.5" hidden="1" customHeight="1">
      <c r="A28" s="10" t="s">
        <v>131</v>
      </c>
      <c r="B28" s="40" t="s">
        <v>132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>
        <v>85</v>
      </c>
      <c r="AI28" s="28">
        <v>85</v>
      </c>
      <c r="AJ28" s="28">
        <v>85</v>
      </c>
      <c r="AK28" s="28">
        <v>102</v>
      </c>
      <c r="AL28" s="28">
        <v>103.68308</v>
      </c>
      <c r="AM28" s="28">
        <v>103.68308</v>
      </c>
      <c r="AN28" s="28">
        <v>82.8</v>
      </c>
      <c r="AO28" s="28">
        <v>6</v>
      </c>
      <c r="AP28" s="28">
        <v>6</v>
      </c>
      <c r="AQ28" s="28">
        <v>6</v>
      </c>
      <c r="AR28" s="28">
        <v>6</v>
      </c>
      <c r="AS28" s="28"/>
      <c r="AT28" s="28">
        <v>82.2</v>
      </c>
      <c r="AU28" s="28">
        <v>97.2</v>
      </c>
      <c r="AV28" s="28">
        <f>107.63453-0.12213</f>
        <v>107.5124</v>
      </c>
      <c r="AW28" s="28">
        <v>107.5124</v>
      </c>
      <c r="AX28" s="28">
        <v>86</v>
      </c>
      <c r="AY28" s="28">
        <v>86</v>
      </c>
      <c r="AZ28" s="28">
        <v>86</v>
      </c>
      <c r="BA28" s="28">
        <v>86</v>
      </c>
      <c r="BB28" s="28">
        <v>86</v>
      </c>
      <c r="BC28" s="28">
        <v>86</v>
      </c>
      <c r="BD28" s="28">
        <v>87.3</v>
      </c>
      <c r="BE28" s="28">
        <v>109.60101</v>
      </c>
      <c r="BF28" s="28">
        <v>109.60101</v>
      </c>
      <c r="BG28" s="28">
        <v>93</v>
      </c>
      <c r="BH28" s="28">
        <v>95</v>
      </c>
      <c r="BI28" s="28">
        <v>98</v>
      </c>
      <c r="BJ28" s="20">
        <v>93</v>
      </c>
      <c r="BK28" s="23">
        <v>93</v>
      </c>
      <c r="BL28" s="28">
        <v>93</v>
      </c>
      <c r="BM28" s="28"/>
      <c r="BN28" s="28">
        <v>115.29194</v>
      </c>
      <c r="BO28" s="28">
        <v>115.29194</v>
      </c>
      <c r="BP28" s="28">
        <v>109</v>
      </c>
      <c r="BQ28" s="28">
        <v>110</v>
      </c>
      <c r="BR28" s="28">
        <v>113</v>
      </c>
      <c r="BS28" s="23">
        <v>109</v>
      </c>
      <c r="BT28" s="28">
        <v>109</v>
      </c>
      <c r="BU28" s="28">
        <v>109</v>
      </c>
      <c r="BV28" s="28">
        <v>49.2</v>
      </c>
      <c r="BW28" s="28">
        <v>111</v>
      </c>
      <c r="BX28" s="24">
        <f t="shared" si="7"/>
        <v>2</v>
      </c>
      <c r="BY28" s="25">
        <f t="shared" si="8"/>
        <v>101.83486238532109</v>
      </c>
      <c r="BZ28" s="28">
        <v>109</v>
      </c>
      <c r="CA28" s="28">
        <v>126.38284</v>
      </c>
      <c r="CB28" s="28">
        <v>126.38284</v>
      </c>
      <c r="CC28" s="28">
        <f t="shared" si="9"/>
        <v>115.94755963302752</v>
      </c>
      <c r="CD28" s="28">
        <f t="shared" si="10"/>
        <v>113.85841441441443</v>
      </c>
      <c r="CE28" s="28">
        <f t="shared" si="11"/>
        <v>109.61983986044473</v>
      </c>
      <c r="CF28" s="28">
        <v>111</v>
      </c>
      <c r="CG28" s="28">
        <v>111</v>
      </c>
      <c r="CH28" s="20">
        <f t="shared" si="12"/>
        <v>0</v>
      </c>
      <c r="CI28" s="20">
        <f t="shared" si="13"/>
        <v>100</v>
      </c>
      <c r="CJ28" s="28">
        <v>112</v>
      </c>
      <c r="CK28" s="28">
        <v>114</v>
      </c>
    </row>
    <row r="29" spans="1:89" ht="22.5" customHeight="1">
      <c r="A29" s="18" t="s">
        <v>133</v>
      </c>
      <c r="B29" s="19" t="s">
        <v>134</v>
      </c>
      <c r="C29" s="20">
        <f t="shared" ref="C29:AP29" si="30">C30+C32</f>
        <v>130.18265</v>
      </c>
      <c r="D29" s="20">
        <f t="shared" si="30"/>
        <v>329</v>
      </c>
      <c r="E29" s="20">
        <f t="shared" si="30"/>
        <v>329</v>
      </c>
      <c r="F29" s="20">
        <f t="shared" si="30"/>
        <v>158.90355</v>
      </c>
      <c r="G29" s="20">
        <f t="shared" si="30"/>
        <v>332</v>
      </c>
      <c r="H29" s="20">
        <f t="shared" si="30"/>
        <v>159.30000000000001</v>
      </c>
      <c r="I29" s="20">
        <f t="shared" si="30"/>
        <v>159.26586</v>
      </c>
      <c r="J29" s="20">
        <f t="shared" si="30"/>
        <v>137</v>
      </c>
      <c r="K29" s="20">
        <f t="shared" si="30"/>
        <v>131</v>
      </c>
      <c r="L29" s="20">
        <f t="shared" si="30"/>
        <v>115.18858999999999</v>
      </c>
      <c r="M29" s="20">
        <f t="shared" si="30"/>
        <v>106.52061999999999</v>
      </c>
      <c r="N29" s="20">
        <f t="shared" si="30"/>
        <v>172</v>
      </c>
      <c r="O29" s="20">
        <f t="shared" si="30"/>
        <v>172</v>
      </c>
      <c r="P29" s="20">
        <f t="shared" si="30"/>
        <v>362.95135000000005</v>
      </c>
      <c r="Q29" s="20">
        <f t="shared" si="30"/>
        <v>362.95135000000005</v>
      </c>
      <c r="R29" s="20">
        <f t="shared" si="30"/>
        <v>145</v>
      </c>
      <c r="S29" s="20">
        <f t="shared" si="30"/>
        <v>1003.4</v>
      </c>
      <c r="T29" s="20">
        <f t="shared" si="30"/>
        <v>1003.58935</v>
      </c>
      <c r="U29" s="20">
        <f t="shared" si="30"/>
        <v>1003.58935</v>
      </c>
      <c r="V29" s="20">
        <f t="shared" si="30"/>
        <v>660</v>
      </c>
      <c r="W29" s="20">
        <f t="shared" si="30"/>
        <v>1481.4</v>
      </c>
      <c r="X29" s="20">
        <f t="shared" si="30"/>
        <v>1488.5428300000001</v>
      </c>
      <c r="Y29" s="20">
        <f t="shared" si="30"/>
        <v>1345.69156</v>
      </c>
      <c r="Z29" s="20">
        <f t="shared" si="30"/>
        <v>745</v>
      </c>
      <c r="AA29" s="20">
        <f t="shared" si="30"/>
        <v>838.3</v>
      </c>
      <c r="AB29" s="20">
        <f t="shared" si="30"/>
        <v>951.68403999999998</v>
      </c>
      <c r="AC29" s="20">
        <f t="shared" si="30"/>
        <v>940.18642</v>
      </c>
      <c r="AD29" s="20">
        <f t="shared" si="30"/>
        <v>1050</v>
      </c>
      <c r="AE29" s="20">
        <f t="shared" si="30"/>
        <v>835</v>
      </c>
      <c r="AF29" s="20">
        <f t="shared" si="30"/>
        <v>897.09969999999998</v>
      </c>
      <c r="AG29" s="20">
        <f t="shared" si="30"/>
        <v>906.94731999999999</v>
      </c>
      <c r="AH29" s="20">
        <f t="shared" si="30"/>
        <v>1008.8</v>
      </c>
      <c r="AI29" s="20">
        <f t="shared" si="30"/>
        <v>1012</v>
      </c>
      <c r="AJ29" s="20">
        <f t="shared" si="30"/>
        <v>1020</v>
      </c>
      <c r="AK29" s="20">
        <f t="shared" si="30"/>
        <v>549.20000000000005</v>
      </c>
      <c r="AL29" s="20">
        <f t="shared" si="30"/>
        <v>565.52714000000003</v>
      </c>
      <c r="AM29" s="20">
        <f t="shared" si="30"/>
        <v>750.29637000000002</v>
      </c>
      <c r="AN29" s="20">
        <f t="shared" si="30"/>
        <v>900</v>
      </c>
      <c r="AO29" s="20">
        <f t="shared" si="30"/>
        <v>900</v>
      </c>
      <c r="AP29" s="20">
        <f t="shared" si="30"/>
        <v>900</v>
      </c>
      <c r="AQ29" s="20">
        <v>900</v>
      </c>
      <c r="AR29" s="20">
        <v>900</v>
      </c>
      <c r="AS29" s="20">
        <v>900</v>
      </c>
      <c r="AT29" s="20">
        <f t="shared" ref="AT29:AZ29" si="31">AT30+AT32</f>
        <v>900</v>
      </c>
      <c r="AU29" s="20">
        <f t="shared" si="31"/>
        <v>1146</v>
      </c>
      <c r="AV29" s="20">
        <f t="shared" si="31"/>
        <v>1156.1382100000001</v>
      </c>
      <c r="AW29" s="20">
        <f t="shared" si="31"/>
        <v>910.57591000000002</v>
      </c>
      <c r="AX29" s="20">
        <f t="shared" si="31"/>
        <v>870</v>
      </c>
      <c r="AY29" s="20">
        <f t="shared" si="31"/>
        <v>875</v>
      </c>
      <c r="AZ29" s="20">
        <f t="shared" si="31"/>
        <v>880</v>
      </c>
      <c r="BA29" s="20">
        <v>870</v>
      </c>
      <c r="BB29" s="20">
        <v>870</v>
      </c>
      <c r="BC29" s="20">
        <f t="shared" ref="BC29:BO29" si="32">BC30+BC32</f>
        <v>870</v>
      </c>
      <c r="BD29" s="20">
        <f t="shared" si="32"/>
        <v>966</v>
      </c>
      <c r="BE29" s="20">
        <f t="shared" si="32"/>
        <v>1026.49666</v>
      </c>
      <c r="BF29" s="20">
        <f t="shared" si="32"/>
        <v>877.65174000000002</v>
      </c>
      <c r="BG29" s="20">
        <f t="shared" si="32"/>
        <v>810</v>
      </c>
      <c r="BH29" s="20">
        <f t="shared" si="32"/>
        <v>820</v>
      </c>
      <c r="BI29" s="20">
        <f t="shared" si="32"/>
        <v>825</v>
      </c>
      <c r="BJ29" s="20">
        <f t="shared" si="32"/>
        <v>810</v>
      </c>
      <c r="BK29" s="20">
        <f t="shared" si="32"/>
        <v>810</v>
      </c>
      <c r="BL29" s="20">
        <f t="shared" si="32"/>
        <v>707.9</v>
      </c>
      <c r="BM29" s="20">
        <f t="shared" si="32"/>
        <v>810</v>
      </c>
      <c r="BN29" s="20">
        <f t="shared" si="32"/>
        <v>760.69525999999996</v>
      </c>
      <c r="BO29" s="20">
        <f t="shared" si="32"/>
        <v>1472.3923599999998</v>
      </c>
      <c r="BP29" s="20">
        <f t="shared" ref="BP29:BV29" si="33">BP30+BP32</f>
        <v>620</v>
      </c>
      <c r="BQ29" s="20">
        <f t="shared" si="33"/>
        <v>625</v>
      </c>
      <c r="BR29" s="20">
        <f t="shared" si="33"/>
        <v>630</v>
      </c>
      <c r="BS29" s="20">
        <f t="shared" si="33"/>
        <v>620</v>
      </c>
      <c r="BT29" s="20">
        <f t="shared" si="33"/>
        <v>620</v>
      </c>
      <c r="BU29" s="20">
        <f t="shared" si="33"/>
        <v>620</v>
      </c>
      <c r="BV29" s="20">
        <f t="shared" si="33"/>
        <v>-114.6</v>
      </c>
      <c r="BW29" s="20">
        <f>BW30+BW32</f>
        <v>253.2</v>
      </c>
      <c r="BX29" s="24">
        <f t="shared" si="7"/>
        <v>-366.8</v>
      </c>
      <c r="BY29" s="25">
        <f t="shared" si="8"/>
        <v>40.838709677419352</v>
      </c>
      <c r="BZ29" s="20">
        <f>BZ30+BZ32</f>
        <v>73</v>
      </c>
      <c r="CA29" s="20">
        <f>CA30+CA32</f>
        <v>113.12371999999999</v>
      </c>
      <c r="CB29" s="20">
        <f>CB30+CB32</f>
        <v>111.03927000000002</v>
      </c>
      <c r="CC29" s="28">
        <f t="shared" si="9"/>
        <v>18.24576129032258</v>
      </c>
      <c r="CD29" s="28">
        <f t="shared" si="10"/>
        <v>44.67761453396524</v>
      </c>
      <c r="CE29" s="28">
        <f t="shared" si="11"/>
        <v>14.871095686858887</v>
      </c>
      <c r="CF29" s="20">
        <f>CF30+CF32</f>
        <v>605</v>
      </c>
      <c r="CG29" s="20">
        <f>CG30+CG32</f>
        <v>605</v>
      </c>
      <c r="CH29" s="20">
        <f t="shared" si="12"/>
        <v>0</v>
      </c>
      <c r="CI29" s="20">
        <f t="shared" si="13"/>
        <v>100</v>
      </c>
      <c r="CJ29" s="20">
        <f>CJ30+CJ32</f>
        <v>607</v>
      </c>
      <c r="CK29" s="20">
        <f>CK30+CK32</f>
        <v>610</v>
      </c>
    </row>
    <row r="30" spans="1:89" ht="22.5" hidden="1" customHeight="1">
      <c r="A30" s="10" t="s">
        <v>135</v>
      </c>
      <c r="B30" s="40" t="s">
        <v>136</v>
      </c>
      <c r="C30" s="28">
        <v>88.737409999999997</v>
      </c>
      <c r="D30" s="28">
        <v>220</v>
      </c>
      <c r="E30" s="28">
        <v>220</v>
      </c>
      <c r="F30" s="28">
        <f>90.45329+4.81949</f>
        <v>95.272779999999997</v>
      </c>
      <c r="G30" s="28">
        <v>220</v>
      </c>
      <c r="H30" s="28">
        <v>77.3</v>
      </c>
      <c r="I30" s="28">
        <f>64.63312+12.02417</f>
        <v>76.657290000000003</v>
      </c>
      <c r="J30" s="28">
        <v>65</v>
      </c>
      <c r="K30" s="28">
        <v>74</v>
      </c>
      <c r="L30" s="28">
        <f>80.99856-7.33059</f>
        <v>73.667969999999997</v>
      </c>
      <c r="M30" s="28">
        <v>65</v>
      </c>
      <c r="N30" s="28">
        <v>65</v>
      </c>
      <c r="O30" s="28">
        <v>65</v>
      </c>
      <c r="P30" s="28">
        <f>54.49812+0.31688</f>
        <v>54.814999999999998</v>
      </c>
      <c r="Q30" s="28">
        <f>54.49812+0.31688</f>
        <v>54.814999999999998</v>
      </c>
      <c r="R30" s="28">
        <v>55</v>
      </c>
      <c r="S30" s="28">
        <v>785</v>
      </c>
      <c r="T30" s="28">
        <f>778.50683+4.26091+2</f>
        <v>784.76774</v>
      </c>
      <c r="U30" s="28">
        <v>784.76774</v>
      </c>
      <c r="V30" s="28">
        <v>320</v>
      </c>
      <c r="W30" s="28">
        <v>990.4</v>
      </c>
      <c r="X30" s="28">
        <v>991.35937000000001</v>
      </c>
      <c r="Y30" s="28">
        <v>891.26621</v>
      </c>
      <c r="Z30" s="28">
        <v>482</v>
      </c>
      <c r="AA30" s="28">
        <v>461.3</v>
      </c>
      <c r="AB30" s="28">
        <f>514.343+32.9154</f>
        <v>547.25839999999994</v>
      </c>
      <c r="AC30" s="28">
        <v>587.34355000000005</v>
      </c>
      <c r="AD30" s="28">
        <v>683</v>
      </c>
      <c r="AE30" s="28">
        <v>514</v>
      </c>
      <c r="AF30" s="28">
        <v>555.67566999999997</v>
      </c>
      <c r="AG30" s="28">
        <v>554.93598999999995</v>
      </c>
      <c r="AH30" s="28">
        <v>639.79999999999995</v>
      </c>
      <c r="AI30" s="28">
        <v>642</v>
      </c>
      <c r="AJ30" s="28">
        <v>648</v>
      </c>
      <c r="AK30" s="28">
        <v>318</v>
      </c>
      <c r="AL30" s="28">
        <v>231.15287000000001</v>
      </c>
      <c r="AM30" s="28">
        <v>554.93568000000005</v>
      </c>
      <c r="AN30" s="28">
        <v>555.70000000000005</v>
      </c>
      <c r="AO30" s="28">
        <v>555.70000000000005</v>
      </c>
      <c r="AP30" s="28">
        <v>555.70000000000005</v>
      </c>
      <c r="AQ30" s="28"/>
      <c r="AR30" s="28"/>
      <c r="AS30" s="28"/>
      <c r="AT30" s="28">
        <v>344.3</v>
      </c>
      <c r="AU30" s="28">
        <v>925.7</v>
      </c>
      <c r="AV30" s="28">
        <f>913.52942+13.69826</f>
        <v>927.22767999999996</v>
      </c>
      <c r="AW30" s="28">
        <v>571.48896999999999</v>
      </c>
      <c r="AX30" s="28">
        <v>536</v>
      </c>
      <c r="AY30" s="28">
        <v>538</v>
      </c>
      <c r="AZ30" s="28">
        <v>540</v>
      </c>
      <c r="BA30" s="28">
        <v>536</v>
      </c>
      <c r="BB30" s="28">
        <v>536</v>
      </c>
      <c r="BC30" s="28">
        <v>536</v>
      </c>
      <c r="BD30" s="28">
        <v>702</v>
      </c>
      <c r="BE30" s="28">
        <v>741.89428999999996</v>
      </c>
      <c r="BF30" s="28">
        <v>555.89389000000006</v>
      </c>
      <c r="BG30" s="28">
        <v>518</v>
      </c>
      <c r="BH30" s="28">
        <v>520</v>
      </c>
      <c r="BI30" s="28">
        <v>525</v>
      </c>
      <c r="BJ30" s="20">
        <v>518</v>
      </c>
      <c r="BK30" s="23">
        <v>518</v>
      </c>
      <c r="BL30" s="28">
        <v>415.9</v>
      </c>
      <c r="BM30" s="28">
        <v>518</v>
      </c>
      <c r="BN30" s="28">
        <v>435.28104000000002</v>
      </c>
      <c r="BO30" s="28">
        <v>1144.88222</v>
      </c>
      <c r="BP30" s="28">
        <v>223.2</v>
      </c>
      <c r="BQ30" s="28">
        <v>224</v>
      </c>
      <c r="BR30" s="28">
        <v>225</v>
      </c>
      <c r="BS30" s="23">
        <v>396.8</v>
      </c>
      <c r="BT30" s="28">
        <v>396.8</v>
      </c>
      <c r="BU30" s="28">
        <v>396.8</v>
      </c>
      <c r="BV30" s="28">
        <v>-214.6</v>
      </c>
      <c r="BW30" s="28">
        <v>0</v>
      </c>
      <c r="BX30" s="24">
        <f t="shared" si="7"/>
        <v>-223.2</v>
      </c>
      <c r="BY30" s="25">
        <f t="shared" si="8"/>
        <v>0</v>
      </c>
      <c r="BZ30" s="28">
        <v>-150</v>
      </c>
      <c r="CA30" s="28">
        <v>-155.363</v>
      </c>
      <c r="CB30" s="28">
        <v>-155.304</v>
      </c>
      <c r="CC30" s="28">
        <f t="shared" si="9"/>
        <v>-69.607078853046602</v>
      </c>
      <c r="CD30" s="28" t="e">
        <f t="shared" si="10"/>
        <v>#DIV/0!</v>
      </c>
      <c r="CE30" s="28">
        <f t="shared" si="11"/>
        <v>-35.692572320632202</v>
      </c>
      <c r="CF30" s="28">
        <v>295</v>
      </c>
      <c r="CG30" s="28">
        <v>295</v>
      </c>
      <c r="CH30" s="20">
        <f t="shared" si="12"/>
        <v>0</v>
      </c>
      <c r="CI30" s="20">
        <f t="shared" si="13"/>
        <v>100</v>
      </c>
      <c r="CJ30" s="28">
        <v>295</v>
      </c>
      <c r="CK30" s="28">
        <v>295</v>
      </c>
    </row>
    <row r="31" spans="1:89" ht="22.5" hidden="1" customHeight="1">
      <c r="A31" s="10" t="s">
        <v>137</v>
      </c>
      <c r="B31" s="40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>
        <v>-4.1947700000000001</v>
      </c>
      <c r="AN31" s="28"/>
      <c r="AO31" s="28"/>
      <c r="AP31" s="28"/>
      <c r="AQ31" s="28"/>
      <c r="AR31" s="28"/>
      <c r="AS31" s="28"/>
      <c r="AT31" s="28"/>
      <c r="AU31" s="28"/>
      <c r="AV31" s="28"/>
      <c r="AW31" s="28">
        <v>0</v>
      </c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0"/>
      <c r="BK31" s="23"/>
      <c r="BL31" s="28"/>
      <c r="BM31" s="28"/>
      <c r="BN31" s="28"/>
      <c r="BO31" s="28"/>
      <c r="BP31" s="28"/>
      <c r="BQ31" s="28"/>
      <c r="BR31" s="28"/>
      <c r="BS31" s="23"/>
      <c r="BT31" s="28"/>
      <c r="BU31" s="28"/>
      <c r="BV31" s="28"/>
      <c r="BW31" s="28"/>
      <c r="BX31" s="24">
        <f t="shared" si="7"/>
        <v>0</v>
      </c>
      <c r="BY31" s="25" t="e">
        <f t="shared" si="8"/>
        <v>#DIV/0!</v>
      </c>
      <c r="BZ31" s="28"/>
      <c r="CA31" s="28"/>
      <c r="CB31" s="28">
        <v>-6.0999999999999999E-2</v>
      </c>
      <c r="CC31" s="28" t="e">
        <f t="shared" si="9"/>
        <v>#DIV/0!</v>
      </c>
      <c r="CD31" s="28" t="e">
        <f t="shared" si="10"/>
        <v>#DIV/0!</v>
      </c>
      <c r="CE31" s="28" t="e">
        <f t="shared" si="11"/>
        <v>#DIV/0!</v>
      </c>
      <c r="CF31" s="28"/>
      <c r="CG31" s="28"/>
      <c r="CH31" s="20">
        <f t="shared" si="12"/>
        <v>0</v>
      </c>
      <c r="CI31" s="20" t="e">
        <f t="shared" si="13"/>
        <v>#DIV/0!</v>
      </c>
      <c r="CJ31" s="28"/>
      <c r="CK31" s="28"/>
    </row>
    <row r="32" spans="1:89" ht="22.5" hidden="1" customHeight="1">
      <c r="A32" s="10" t="s">
        <v>138</v>
      </c>
      <c r="B32" s="40" t="s">
        <v>139</v>
      </c>
      <c r="C32" s="28">
        <v>41.445239999999998</v>
      </c>
      <c r="D32" s="28">
        <v>109</v>
      </c>
      <c r="E32" s="28">
        <v>109</v>
      </c>
      <c r="F32" s="28">
        <f>59.64011+0.53558+3.4+0.05508</f>
        <v>63.630769999999998</v>
      </c>
      <c r="G32" s="28">
        <v>112</v>
      </c>
      <c r="H32" s="28">
        <v>82</v>
      </c>
      <c r="I32" s="28">
        <f>70.28456+7.32401+5</f>
        <v>82.60857</v>
      </c>
      <c r="J32" s="28">
        <v>72</v>
      </c>
      <c r="K32" s="28">
        <v>57</v>
      </c>
      <c r="L32" s="28">
        <f>29.89935+0.30887+11.3124</f>
        <v>41.520619999999994</v>
      </c>
      <c r="M32" s="28">
        <f>29.89935+0.30887+11.3124</f>
        <v>41.520619999999994</v>
      </c>
      <c r="N32" s="28">
        <v>107</v>
      </c>
      <c r="O32" s="28">
        <v>107</v>
      </c>
      <c r="P32" s="28">
        <f>0.31688+292.83273+14.98674</f>
        <v>308.13635000000005</v>
      </c>
      <c r="Q32" s="28">
        <f>0.31688+292.83273+14.98674</f>
        <v>308.13635000000005</v>
      </c>
      <c r="R32" s="28">
        <v>90</v>
      </c>
      <c r="S32" s="28">
        <v>218.4</v>
      </c>
      <c r="T32" s="28">
        <f>-1.36/1000+199.55109+6.52082+1.0474+11.70366</f>
        <v>218.82160999999996</v>
      </c>
      <c r="U32" s="28">
        <v>218.82160999999999</v>
      </c>
      <c r="V32" s="28">
        <v>340</v>
      </c>
      <c r="W32" s="28">
        <v>491</v>
      </c>
      <c r="X32" s="28">
        <v>497.18346000000003</v>
      </c>
      <c r="Y32" s="28">
        <v>454.42534999999998</v>
      </c>
      <c r="Z32" s="28">
        <v>263</v>
      </c>
      <c r="AA32" s="28">
        <v>377</v>
      </c>
      <c r="AB32" s="28">
        <f>398.17367+6.23097+0.021</f>
        <v>404.42564000000004</v>
      </c>
      <c r="AC32" s="28">
        <v>352.84287</v>
      </c>
      <c r="AD32" s="28">
        <v>367</v>
      </c>
      <c r="AE32" s="28">
        <v>321</v>
      </c>
      <c r="AF32" s="28">
        <v>341.42403000000002</v>
      </c>
      <c r="AG32" s="28">
        <v>352.01132999999999</v>
      </c>
      <c r="AH32" s="28">
        <v>369</v>
      </c>
      <c r="AI32" s="28">
        <v>370</v>
      </c>
      <c r="AJ32" s="28">
        <v>372</v>
      </c>
      <c r="AK32" s="28">
        <v>231.2</v>
      </c>
      <c r="AL32" s="28">
        <v>334.37427000000002</v>
      </c>
      <c r="AM32" s="28">
        <v>195.36069000000001</v>
      </c>
      <c r="AN32" s="28">
        <v>344.3</v>
      </c>
      <c r="AO32" s="28">
        <v>344.3</v>
      </c>
      <c r="AP32" s="28">
        <v>344.3</v>
      </c>
      <c r="AQ32" s="28"/>
      <c r="AR32" s="28"/>
      <c r="AS32" s="28"/>
      <c r="AT32" s="28">
        <v>555.70000000000005</v>
      </c>
      <c r="AU32" s="28">
        <v>220.3</v>
      </c>
      <c r="AV32" s="28">
        <f>232.32768-3.41715</f>
        <v>228.91052999999999</v>
      </c>
      <c r="AW32" s="28">
        <v>339.08694000000003</v>
      </c>
      <c r="AX32" s="28">
        <v>334</v>
      </c>
      <c r="AY32" s="28">
        <v>337</v>
      </c>
      <c r="AZ32" s="28">
        <v>340</v>
      </c>
      <c r="BA32" s="28">
        <v>334</v>
      </c>
      <c r="BB32" s="28">
        <v>334</v>
      </c>
      <c r="BC32" s="28">
        <v>334</v>
      </c>
      <c r="BD32" s="28">
        <v>264</v>
      </c>
      <c r="BE32" s="28">
        <v>284.60237000000001</v>
      </c>
      <c r="BF32" s="28">
        <v>321.75785000000002</v>
      </c>
      <c r="BG32" s="28">
        <v>292</v>
      </c>
      <c r="BH32" s="28">
        <v>300</v>
      </c>
      <c r="BI32" s="28">
        <v>300</v>
      </c>
      <c r="BJ32" s="20">
        <v>292</v>
      </c>
      <c r="BK32" s="23">
        <v>292</v>
      </c>
      <c r="BL32" s="28">
        <v>292</v>
      </c>
      <c r="BM32" s="28">
        <v>292</v>
      </c>
      <c r="BN32" s="28">
        <v>325.41422</v>
      </c>
      <c r="BO32" s="28">
        <v>327.51013999999998</v>
      </c>
      <c r="BP32" s="28">
        <v>396.8</v>
      </c>
      <c r="BQ32" s="28">
        <v>401</v>
      </c>
      <c r="BR32" s="28">
        <v>405</v>
      </c>
      <c r="BS32" s="23">
        <v>223.2</v>
      </c>
      <c r="BT32" s="28">
        <v>223.2</v>
      </c>
      <c r="BU32" s="28">
        <v>223.2</v>
      </c>
      <c r="BV32" s="28">
        <v>100</v>
      </c>
      <c r="BW32" s="28">
        <v>253.2</v>
      </c>
      <c r="BX32" s="24">
        <f t="shared" si="7"/>
        <v>-143.60000000000002</v>
      </c>
      <c r="BY32" s="25">
        <f t="shared" si="8"/>
        <v>63.810483870967737</v>
      </c>
      <c r="BZ32" s="28">
        <v>223</v>
      </c>
      <c r="CA32" s="28">
        <v>268.48671999999999</v>
      </c>
      <c r="CB32" s="28">
        <v>266.34327000000002</v>
      </c>
      <c r="CC32" s="28">
        <f t="shared" si="9"/>
        <v>67.662983870967736</v>
      </c>
      <c r="CD32" s="28">
        <f t="shared" si="10"/>
        <v>106.03740916271722</v>
      </c>
      <c r="CE32" s="28">
        <f t="shared" si="11"/>
        <v>82.506142478961124</v>
      </c>
      <c r="CF32" s="28">
        <v>310</v>
      </c>
      <c r="CG32" s="28">
        <v>310</v>
      </c>
      <c r="CH32" s="20">
        <f t="shared" si="12"/>
        <v>0</v>
      </c>
      <c r="CI32" s="20">
        <f t="shared" si="13"/>
        <v>100</v>
      </c>
      <c r="CJ32" s="28">
        <v>312</v>
      </c>
      <c r="CK32" s="28">
        <v>315</v>
      </c>
    </row>
    <row r="33" spans="1:89" ht="22.5" hidden="1" customHeight="1">
      <c r="A33" s="10"/>
      <c r="B33" s="40" t="s">
        <v>126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>
        <v>-154.69315</v>
      </c>
      <c r="AD33" s="28"/>
      <c r="AE33" s="28"/>
      <c r="AF33" s="28"/>
      <c r="AG33" s="28">
        <v>-13.29058</v>
      </c>
      <c r="AH33" s="28"/>
      <c r="AI33" s="28"/>
      <c r="AJ33" s="28"/>
      <c r="AK33" s="28"/>
      <c r="AL33" s="28"/>
      <c r="AM33" s="28">
        <v>-12.069559999999999</v>
      </c>
      <c r="AN33" s="28"/>
      <c r="AO33" s="28"/>
      <c r="AP33" s="28"/>
      <c r="AQ33" s="28"/>
      <c r="AR33" s="28"/>
      <c r="AS33" s="28"/>
      <c r="AT33" s="28"/>
      <c r="AU33" s="28"/>
      <c r="AV33" s="28"/>
      <c r="AW33" s="28">
        <v>-13.69693</v>
      </c>
      <c r="AX33" s="28"/>
      <c r="AY33" s="28"/>
      <c r="AZ33" s="28"/>
      <c r="BA33" s="28"/>
      <c r="BB33" s="28"/>
      <c r="BC33" s="28"/>
      <c r="BD33" s="28"/>
      <c r="BE33" s="28"/>
      <c r="BF33" s="28">
        <v>-6.6611599999999997</v>
      </c>
      <c r="BG33" s="28"/>
      <c r="BH33" s="28"/>
      <c r="BI33" s="28"/>
      <c r="BJ33" s="20"/>
      <c r="BK33" s="23"/>
      <c r="BL33" s="28"/>
      <c r="BM33" s="28"/>
      <c r="BN33" s="28"/>
      <c r="BO33" s="28">
        <v>-0.46176</v>
      </c>
      <c r="BP33" s="28"/>
      <c r="BQ33" s="28"/>
      <c r="BR33" s="28"/>
      <c r="BS33" s="23"/>
      <c r="BT33" s="28"/>
      <c r="BU33" s="28"/>
      <c r="BV33" s="28"/>
      <c r="BW33" s="28"/>
      <c r="BX33" s="24">
        <f t="shared" si="7"/>
        <v>0</v>
      </c>
      <c r="BY33" s="25" t="e">
        <f t="shared" si="8"/>
        <v>#DIV/0!</v>
      </c>
      <c r="BZ33" s="28"/>
      <c r="CA33" s="28"/>
      <c r="CB33" s="28">
        <v>-2.6331699999999998</v>
      </c>
      <c r="CC33" s="28" t="e">
        <f t="shared" si="9"/>
        <v>#DIV/0!</v>
      </c>
      <c r="CD33" s="28" t="e">
        <f t="shared" si="10"/>
        <v>#DIV/0!</v>
      </c>
      <c r="CE33" s="28" t="e">
        <f t="shared" si="11"/>
        <v>#DIV/0!</v>
      </c>
      <c r="CF33" s="28"/>
      <c r="CG33" s="28"/>
      <c r="CH33" s="20">
        <f t="shared" si="12"/>
        <v>0</v>
      </c>
      <c r="CI33" s="20" t="e">
        <f t="shared" si="13"/>
        <v>#DIV/0!</v>
      </c>
      <c r="CJ33" s="28"/>
      <c r="CK33" s="28"/>
    </row>
    <row r="34" spans="1:89" ht="22.5" customHeight="1">
      <c r="A34" s="18" t="s">
        <v>140</v>
      </c>
      <c r="B34" s="19" t="s">
        <v>141</v>
      </c>
      <c r="C34" s="20">
        <f t="shared" ref="C34:AP34" si="34">C35+C36</f>
        <v>142.42343</v>
      </c>
      <c r="D34" s="20">
        <f t="shared" si="34"/>
        <v>118</v>
      </c>
      <c r="E34" s="20">
        <f t="shared" si="34"/>
        <v>144</v>
      </c>
      <c r="F34" s="20">
        <f t="shared" si="34"/>
        <v>138.09</v>
      </c>
      <c r="G34" s="20">
        <f t="shared" si="34"/>
        <v>120</v>
      </c>
      <c r="H34" s="20">
        <f t="shared" si="34"/>
        <v>148.80000000000001</v>
      </c>
      <c r="I34" s="20">
        <f t="shared" si="34"/>
        <v>163.16</v>
      </c>
      <c r="J34" s="20">
        <f t="shared" si="34"/>
        <v>123</v>
      </c>
      <c r="K34" s="20">
        <f t="shared" si="34"/>
        <v>154</v>
      </c>
      <c r="L34" s="20">
        <f t="shared" si="34"/>
        <v>154.15</v>
      </c>
      <c r="M34" s="20">
        <f t="shared" si="34"/>
        <v>154.15</v>
      </c>
      <c r="N34" s="20">
        <f t="shared" si="34"/>
        <v>158.69999999999999</v>
      </c>
      <c r="O34" s="20">
        <f t="shared" si="34"/>
        <v>158.69999999999999</v>
      </c>
      <c r="P34" s="20">
        <f t="shared" si="34"/>
        <v>160.15</v>
      </c>
      <c r="Q34" s="20">
        <f t="shared" si="34"/>
        <v>160.15</v>
      </c>
      <c r="R34" s="20">
        <f t="shared" si="34"/>
        <v>160</v>
      </c>
      <c r="S34" s="20">
        <f t="shared" si="34"/>
        <v>124.1</v>
      </c>
      <c r="T34" s="20">
        <f t="shared" si="34"/>
        <v>127</v>
      </c>
      <c r="U34" s="20">
        <f t="shared" si="34"/>
        <v>127</v>
      </c>
      <c r="V34" s="20">
        <f t="shared" si="34"/>
        <v>161</v>
      </c>
      <c r="W34" s="20">
        <f t="shared" si="34"/>
        <v>155.19999999999999</v>
      </c>
      <c r="X34" s="20">
        <f t="shared" si="34"/>
        <v>161.06</v>
      </c>
      <c r="Y34" s="20">
        <f t="shared" si="34"/>
        <v>161.06</v>
      </c>
      <c r="Z34" s="20">
        <f t="shared" si="34"/>
        <v>132</v>
      </c>
      <c r="AA34" s="20">
        <f t="shared" si="34"/>
        <v>132</v>
      </c>
      <c r="AB34" s="20">
        <f t="shared" si="34"/>
        <v>139.67500000000001</v>
      </c>
      <c r="AC34" s="20">
        <f t="shared" si="34"/>
        <v>139.67500000000001</v>
      </c>
      <c r="AD34" s="20">
        <f t="shared" si="34"/>
        <v>145.1</v>
      </c>
      <c r="AE34" s="20">
        <f t="shared" si="34"/>
        <v>80.099999999999994</v>
      </c>
      <c r="AF34" s="20">
        <f t="shared" si="34"/>
        <v>83.87</v>
      </c>
      <c r="AG34" s="20">
        <f t="shared" si="34"/>
        <v>83.87</v>
      </c>
      <c r="AH34" s="20">
        <f t="shared" si="34"/>
        <v>148.6</v>
      </c>
      <c r="AI34" s="20">
        <f t="shared" si="34"/>
        <v>148.6</v>
      </c>
      <c r="AJ34" s="20">
        <f t="shared" si="34"/>
        <v>148.6</v>
      </c>
      <c r="AK34" s="20">
        <f t="shared" si="34"/>
        <v>63.6</v>
      </c>
      <c r="AL34" s="20">
        <f t="shared" si="34"/>
        <v>63.965000000000003</v>
      </c>
      <c r="AM34" s="20">
        <f t="shared" si="34"/>
        <v>63.965000000000003</v>
      </c>
      <c r="AN34" s="20">
        <f t="shared" si="34"/>
        <v>67</v>
      </c>
      <c r="AO34" s="20">
        <f t="shared" si="34"/>
        <v>70</v>
      </c>
      <c r="AP34" s="20">
        <f t="shared" si="34"/>
        <v>73</v>
      </c>
      <c r="AQ34" s="20">
        <v>67</v>
      </c>
      <c r="AR34" s="20">
        <v>67</v>
      </c>
      <c r="AS34" s="20">
        <v>76.599999999999994</v>
      </c>
      <c r="AT34" s="20">
        <f t="shared" ref="AT34:AZ34" si="35">AT35+AT36</f>
        <v>76.599999999999994</v>
      </c>
      <c r="AU34" s="20">
        <f t="shared" si="35"/>
        <v>105.89999999999999</v>
      </c>
      <c r="AV34" s="20">
        <f t="shared" si="35"/>
        <v>114.02199999999999</v>
      </c>
      <c r="AW34" s="20">
        <f t="shared" si="35"/>
        <v>114.02199999999999</v>
      </c>
      <c r="AX34" s="20">
        <f t="shared" si="35"/>
        <v>67.099999999999994</v>
      </c>
      <c r="AY34" s="20">
        <f t="shared" si="35"/>
        <v>67.099999999999994</v>
      </c>
      <c r="AZ34" s="20">
        <f t="shared" si="35"/>
        <v>67.099999999999994</v>
      </c>
      <c r="BA34" s="20">
        <v>67.099999999999994</v>
      </c>
      <c r="BB34" s="20">
        <v>67.099999999999994</v>
      </c>
      <c r="BC34" s="20">
        <v>67.099999999999994</v>
      </c>
      <c r="BD34" s="20">
        <v>67.099999999999994</v>
      </c>
      <c r="BE34" s="20">
        <f t="shared" ref="BE34:BO34" si="36">BE35+BE36</f>
        <v>73.5</v>
      </c>
      <c r="BF34" s="20">
        <f t="shared" si="36"/>
        <v>73.5</v>
      </c>
      <c r="BG34" s="20">
        <f t="shared" si="36"/>
        <v>71.7</v>
      </c>
      <c r="BH34" s="20">
        <f t="shared" si="36"/>
        <v>76.099999999999994</v>
      </c>
      <c r="BI34" s="20">
        <f t="shared" si="36"/>
        <v>71.7</v>
      </c>
      <c r="BJ34" s="20">
        <f t="shared" si="36"/>
        <v>71.7</v>
      </c>
      <c r="BK34" s="20">
        <f t="shared" si="36"/>
        <v>71.7</v>
      </c>
      <c r="BL34" s="20">
        <f t="shared" si="36"/>
        <v>61.7</v>
      </c>
      <c r="BM34" s="20">
        <f t="shared" si="36"/>
        <v>61.7</v>
      </c>
      <c r="BN34" s="20">
        <f t="shared" si="36"/>
        <v>67.099999999999994</v>
      </c>
      <c r="BO34" s="20">
        <f t="shared" si="36"/>
        <v>67.099999999999994</v>
      </c>
      <c r="BP34" s="20">
        <f t="shared" ref="BP34:BV34" si="37">BP35+BP36</f>
        <v>74.2</v>
      </c>
      <c r="BQ34" s="20">
        <f t="shared" si="37"/>
        <v>72.400000000000006</v>
      </c>
      <c r="BR34" s="20">
        <f t="shared" si="37"/>
        <v>73.5</v>
      </c>
      <c r="BS34" s="20">
        <f t="shared" si="37"/>
        <v>74.2</v>
      </c>
      <c r="BT34" s="20">
        <f t="shared" si="37"/>
        <v>74.2</v>
      </c>
      <c r="BU34" s="20">
        <f t="shared" si="37"/>
        <v>74.2</v>
      </c>
      <c r="BV34" s="20">
        <f t="shared" si="37"/>
        <v>52.4</v>
      </c>
      <c r="BW34" s="20">
        <f>BW35+BW36</f>
        <v>74.2</v>
      </c>
      <c r="BX34" s="24">
        <f t="shared" si="7"/>
        <v>0</v>
      </c>
      <c r="BY34" s="25">
        <f t="shared" si="8"/>
        <v>100</v>
      </c>
      <c r="BZ34" s="20">
        <f>BZ35+BZ36</f>
        <v>74.2</v>
      </c>
      <c r="CA34" s="20">
        <f>CA35+CA36</f>
        <v>70.173959999999994</v>
      </c>
      <c r="CB34" s="20">
        <f>CB35+CB36</f>
        <v>70.173959999999994</v>
      </c>
      <c r="CC34" s="28">
        <f t="shared" si="9"/>
        <v>94.574070080862526</v>
      </c>
      <c r="CD34" s="28">
        <f t="shared" si="10"/>
        <v>94.574070080862526</v>
      </c>
      <c r="CE34" s="28">
        <f t="shared" si="11"/>
        <v>104.58116244411326</v>
      </c>
      <c r="CF34" s="20">
        <f>CF35+CF36</f>
        <v>67</v>
      </c>
      <c r="CG34" s="20">
        <f>CG35+CG36</f>
        <v>67</v>
      </c>
      <c r="CH34" s="20">
        <f t="shared" si="12"/>
        <v>0</v>
      </c>
      <c r="CI34" s="20">
        <f t="shared" si="13"/>
        <v>100</v>
      </c>
      <c r="CJ34" s="20">
        <f>CJ35+CJ36</f>
        <v>79.8</v>
      </c>
      <c r="CK34" s="20">
        <f>CK35+CK36</f>
        <v>75.400000000000006</v>
      </c>
    </row>
    <row r="35" spans="1:89" ht="22.5" hidden="1" customHeight="1">
      <c r="A35" s="10" t="s">
        <v>142</v>
      </c>
      <c r="B35" s="40" t="s">
        <v>143</v>
      </c>
      <c r="C35" s="28">
        <v>142.42343</v>
      </c>
      <c r="D35" s="28">
        <v>118</v>
      </c>
      <c r="E35" s="28">
        <v>143</v>
      </c>
      <c r="F35" s="28">
        <v>137.09</v>
      </c>
      <c r="G35" s="28">
        <v>120</v>
      </c>
      <c r="H35" s="28">
        <v>148.80000000000001</v>
      </c>
      <c r="I35" s="28">
        <v>163.16</v>
      </c>
      <c r="J35" s="28">
        <v>123</v>
      </c>
      <c r="K35" s="28">
        <v>154</v>
      </c>
      <c r="L35" s="28">
        <v>154.15</v>
      </c>
      <c r="M35" s="28">
        <v>154.15</v>
      </c>
      <c r="N35" s="28">
        <v>158.69999999999999</v>
      </c>
      <c r="O35" s="28">
        <v>158.69999999999999</v>
      </c>
      <c r="P35" s="28">
        <v>160.15</v>
      </c>
      <c r="Q35" s="28">
        <v>160.15</v>
      </c>
      <c r="R35" s="28">
        <v>160</v>
      </c>
      <c r="S35" s="28">
        <v>124.1</v>
      </c>
      <c r="T35" s="28">
        <v>127</v>
      </c>
      <c r="U35" s="28">
        <v>127</v>
      </c>
      <c r="V35" s="28">
        <v>161</v>
      </c>
      <c r="W35" s="28">
        <v>155.19999999999999</v>
      </c>
      <c r="X35" s="28">
        <v>161.06</v>
      </c>
      <c r="Y35" s="28">
        <v>161.06</v>
      </c>
      <c r="Z35" s="28">
        <v>132</v>
      </c>
      <c r="AA35" s="28">
        <v>132</v>
      </c>
      <c r="AB35" s="28">
        <v>139.67500000000001</v>
      </c>
      <c r="AC35" s="28">
        <v>139.67500000000001</v>
      </c>
      <c r="AD35" s="28">
        <v>145.1</v>
      </c>
      <c r="AE35" s="28">
        <v>80.099999999999994</v>
      </c>
      <c r="AF35" s="28">
        <v>83.87</v>
      </c>
      <c r="AG35" s="28">
        <v>83.87</v>
      </c>
      <c r="AH35" s="28">
        <v>148.6</v>
      </c>
      <c r="AI35" s="28">
        <v>148.6</v>
      </c>
      <c r="AJ35" s="28">
        <v>148.6</v>
      </c>
      <c r="AK35" s="28">
        <v>63.6</v>
      </c>
      <c r="AL35" s="28">
        <v>63.965000000000003</v>
      </c>
      <c r="AM35" s="28">
        <v>63.965000000000003</v>
      </c>
      <c r="AN35" s="28">
        <v>67</v>
      </c>
      <c r="AO35" s="28">
        <v>70</v>
      </c>
      <c r="AP35" s="28">
        <v>73</v>
      </c>
      <c r="AQ35" s="28">
        <v>75</v>
      </c>
      <c r="AR35" s="28">
        <v>76</v>
      </c>
      <c r="AS35" s="28"/>
      <c r="AT35" s="28">
        <v>67</v>
      </c>
      <c r="AU35" s="28">
        <v>96.3</v>
      </c>
      <c r="AV35" s="28">
        <v>104.422</v>
      </c>
      <c r="AW35" s="28">
        <v>104.422</v>
      </c>
      <c r="AX35" s="28">
        <v>67.099999999999994</v>
      </c>
      <c r="AY35" s="28">
        <v>67.099999999999994</v>
      </c>
      <c r="AZ35" s="28">
        <v>67.099999999999994</v>
      </c>
      <c r="BA35" s="28">
        <v>68.099999999999994</v>
      </c>
      <c r="BB35" s="28">
        <v>69.099999999999994</v>
      </c>
      <c r="BC35" s="28">
        <v>67.099999999999994</v>
      </c>
      <c r="BD35" s="28">
        <v>67.099999999999994</v>
      </c>
      <c r="BE35" s="28">
        <v>73.5</v>
      </c>
      <c r="BF35" s="28">
        <v>73.5</v>
      </c>
      <c r="BG35" s="28">
        <v>71.7</v>
      </c>
      <c r="BH35" s="28">
        <v>76.099999999999994</v>
      </c>
      <c r="BI35" s="28">
        <v>71.7</v>
      </c>
      <c r="BJ35" s="20">
        <v>71.7</v>
      </c>
      <c r="BK35" s="23">
        <v>71.7</v>
      </c>
      <c r="BL35" s="28">
        <v>61.7</v>
      </c>
      <c r="BM35" s="28">
        <v>61.7</v>
      </c>
      <c r="BN35" s="28">
        <v>67.099999999999994</v>
      </c>
      <c r="BO35" s="28">
        <v>67.099999999999994</v>
      </c>
      <c r="BP35" s="28">
        <v>74.2</v>
      </c>
      <c r="BQ35" s="28">
        <v>72.400000000000006</v>
      </c>
      <c r="BR35" s="28">
        <v>73.5</v>
      </c>
      <c r="BS35" s="23">
        <v>74.2</v>
      </c>
      <c r="BT35" s="28">
        <v>74.2</v>
      </c>
      <c r="BU35" s="28">
        <v>74.2</v>
      </c>
      <c r="BV35" s="28">
        <v>52.4</v>
      </c>
      <c r="BW35" s="28">
        <v>74.2</v>
      </c>
      <c r="BX35" s="24">
        <f t="shared" si="7"/>
        <v>0</v>
      </c>
      <c r="BY35" s="25">
        <f t="shared" si="8"/>
        <v>100</v>
      </c>
      <c r="BZ35" s="28">
        <v>74.2</v>
      </c>
      <c r="CA35" s="28">
        <v>70.173959999999994</v>
      </c>
      <c r="CB35" s="28">
        <v>70.173959999999994</v>
      </c>
      <c r="CC35" s="28">
        <f t="shared" si="9"/>
        <v>94.574070080862526</v>
      </c>
      <c r="CD35" s="28">
        <f t="shared" si="10"/>
        <v>94.574070080862526</v>
      </c>
      <c r="CE35" s="28">
        <f t="shared" si="11"/>
        <v>104.58116244411326</v>
      </c>
      <c r="CF35" s="28">
        <v>67</v>
      </c>
      <c r="CG35" s="28">
        <v>67</v>
      </c>
      <c r="CH35" s="20">
        <f t="shared" si="12"/>
        <v>0</v>
      </c>
      <c r="CI35" s="20">
        <f t="shared" si="13"/>
        <v>100</v>
      </c>
      <c r="CJ35" s="28">
        <v>79.8</v>
      </c>
      <c r="CK35" s="28">
        <v>75.400000000000006</v>
      </c>
    </row>
    <row r="36" spans="1:89" ht="22.5" hidden="1" customHeight="1">
      <c r="A36" s="10" t="s">
        <v>144</v>
      </c>
      <c r="B36" s="40" t="s">
        <v>145</v>
      </c>
      <c r="C36" s="28"/>
      <c r="D36" s="28"/>
      <c r="E36" s="28">
        <v>1</v>
      </c>
      <c r="F36" s="28">
        <v>1</v>
      </c>
      <c r="G36" s="28"/>
      <c r="H36" s="28">
        <v>0</v>
      </c>
      <c r="I36" s="28"/>
      <c r="J36" s="28"/>
      <c r="K36" s="28">
        <v>0</v>
      </c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>
        <v>9.6</v>
      </c>
      <c r="AT36" s="28">
        <v>9.6</v>
      </c>
      <c r="AU36" s="28">
        <v>9.6</v>
      </c>
      <c r="AV36" s="28">
        <v>9.6</v>
      </c>
      <c r="AW36" s="28">
        <v>9.6</v>
      </c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0"/>
      <c r="BK36" s="23"/>
      <c r="BL36" s="28"/>
      <c r="BM36" s="28"/>
      <c r="BN36" s="28"/>
      <c r="BO36" s="28"/>
      <c r="BP36" s="28"/>
      <c r="BQ36" s="28"/>
      <c r="BR36" s="28"/>
      <c r="BS36" s="23"/>
      <c r="BT36" s="28"/>
      <c r="BU36" s="28"/>
      <c r="BV36" s="28"/>
      <c r="BW36" s="28"/>
      <c r="BX36" s="24">
        <f t="shared" si="7"/>
        <v>0</v>
      </c>
      <c r="BY36" s="25" t="e">
        <f t="shared" si="8"/>
        <v>#DIV/0!</v>
      </c>
      <c r="BZ36" s="28"/>
      <c r="CA36" s="28"/>
      <c r="CB36" s="28"/>
      <c r="CC36" s="28" t="e">
        <f t="shared" si="9"/>
        <v>#DIV/0!</v>
      </c>
      <c r="CD36" s="28" t="e">
        <f t="shared" si="10"/>
        <v>#DIV/0!</v>
      </c>
      <c r="CE36" s="28" t="e">
        <f t="shared" si="11"/>
        <v>#DIV/0!</v>
      </c>
      <c r="CF36" s="28"/>
      <c r="CG36" s="28"/>
      <c r="CH36" s="20">
        <f t="shared" si="12"/>
        <v>0</v>
      </c>
      <c r="CI36" s="20" t="e">
        <f t="shared" si="13"/>
        <v>#DIV/0!</v>
      </c>
      <c r="CJ36" s="28"/>
      <c r="CK36" s="28"/>
    </row>
    <row r="37" spans="1:89" s="26" customFormat="1" ht="22.5" customHeight="1">
      <c r="A37" s="18"/>
      <c r="B37" s="19" t="s">
        <v>146</v>
      </c>
      <c r="C37" s="20">
        <f t="shared" ref="C37:AU37" si="38">C39+C46+C50+C55+C65</f>
        <v>4280.3270300000004</v>
      </c>
      <c r="D37" s="20">
        <f t="shared" si="38"/>
        <v>1858</v>
      </c>
      <c r="E37" s="20">
        <f t="shared" si="38"/>
        <v>1401</v>
      </c>
      <c r="F37" s="20">
        <f t="shared" si="38"/>
        <v>1301.34817</v>
      </c>
      <c r="G37" s="20">
        <f t="shared" si="38"/>
        <v>1110</v>
      </c>
      <c r="H37" s="20">
        <f t="shared" si="38"/>
        <v>1034.7</v>
      </c>
      <c r="I37" s="20">
        <f t="shared" si="38"/>
        <v>958.79902000000004</v>
      </c>
      <c r="J37" s="20">
        <f t="shared" si="38"/>
        <v>941.5</v>
      </c>
      <c r="K37" s="20">
        <f t="shared" si="38"/>
        <v>1228.5</v>
      </c>
      <c r="L37" s="20">
        <f t="shared" si="38"/>
        <v>1186.2139299999999</v>
      </c>
      <c r="M37" s="20">
        <f t="shared" si="38"/>
        <v>1186.2139299999999</v>
      </c>
      <c r="N37" s="20">
        <f t="shared" si="38"/>
        <v>1368.6</v>
      </c>
      <c r="O37" s="20">
        <f t="shared" si="38"/>
        <v>469.6</v>
      </c>
      <c r="P37" s="20">
        <f t="shared" si="38"/>
        <v>217.67254000000003</v>
      </c>
      <c r="Q37" s="20">
        <f t="shared" si="38"/>
        <v>-43683.19627</v>
      </c>
      <c r="R37" s="20">
        <f t="shared" si="38"/>
        <v>145</v>
      </c>
      <c r="S37" s="20">
        <f t="shared" si="38"/>
        <v>676.5</v>
      </c>
      <c r="T37" s="20">
        <f t="shared" si="38"/>
        <v>676.51172000000008</v>
      </c>
      <c r="U37" s="20">
        <f t="shared" si="38"/>
        <v>-7869.8074799999995</v>
      </c>
      <c r="V37" s="20">
        <f t="shared" si="38"/>
        <v>156</v>
      </c>
      <c r="W37" s="20">
        <f t="shared" si="38"/>
        <v>357.8</v>
      </c>
      <c r="X37" s="20">
        <f t="shared" si="38"/>
        <v>387.339</v>
      </c>
      <c r="Y37" s="20">
        <f t="shared" si="38"/>
        <v>357.05500999999998</v>
      </c>
      <c r="Z37" s="20">
        <f t="shared" si="38"/>
        <v>160</v>
      </c>
      <c r="AA37" s="20">
        <f t="shared" si="38"/>
        <v>1084.3999999999999</v>
      </c>
      <c r="AB37" s="20">
        <f t="shared" si="38"/>
        <v>1141.6009299999998</v>
      </c>
      <c r="AC37" s="20">
        <f t="shared" si="38"/>
        <v>3231.3117899999997</v>
      </c>
      <c r="AD37" s="20">
        <f t="shared" si="38"/>
        <v>166.8</v>
      </c>
      <c r="AE37" s="20">
        <f t="shared" si="38"/>
        <v>1182.9000000000001</v>
      </c>
      <c r="AF37" s="20">
        <f t="shared" si="38"/>
        <v>1231.31305</v>
      </c>
      <c r="AG37" s="20">
        <f t="shared" si="38"/>
        <v>-30961.468920000003</v>
      </c>
      <c r="AH37" s="20">
        <f t="shared" si="38"/>
        <v>854</v>
      </c>
      <c r="AI37" s="20">
        <f t="shared" si="38"/>
        <v>159.5</v>
      </c>
      <c r="AJ37" s="20">
        <f t="shared" si="38"/>
        <v>159.5</v>
      </c>
      <c r="AK37" s="20">
        <f t="shared" si="38"/>
        <v>2462.5</v>
      </c>
      <c r="AL37" s="20">
        <f t="shared" si="38"/>
        <v>1834.3150699999999</v>
      </c>
      <c r="AM37" s="20">
        <f t="shared" si="38"/>
        <v>80998.769549999997</v>
      </c>
      <c r="AN37" s="20">
        <f t="shared" si="38"/>
        <v>256.3</v>
      </c>
      <c r="AO37" s="20">
        <f t="shared" si="38"/>
        <v>259.3</v>
      </c>
      <c r="AP37" s="20">
        <f t="shared" si="38"/>
        <v>262.3</v>
      </c>
      <c r="AQ37" s="20">
        <f t="shared" si="38"/>
        <v>804.8</v>
      </c>
      <c r="AR37" s="20">
        <f t="shared" si="38"/>
        <v>843.8</v>
      </c>
      <c r="AS37" s="20">
        <f t="shared" si="38"/>
        <v>1243.8</v>
      </c>
      <c r="AT37" s="20">
        <f t="shared" si="38"/>
        <v>1853.8</v>
      </c>
      <c r="AU37" s="20">
        <f t="shared" si="38"/>
        <v>1792.5</v>
      </c>
      <c r="AV37" s="20">
        <f>AV39+AV46+AV50+AV55+AV65</f>
        <v>1993.0226299999999</v>
      </c>
      <c r="AW37" s="20">
        <f>AW39+AW46+AW50+AW55+AW65</f>
        <v>-6066.6409400000011</v>
      </c>
      <c r="AX37" s="20">
        <f>AX39+AX46+AX50+AX55+AX65</f>
        <v>805.90000000000009</v>
      </c>
      <c r="AY37" s="20">
        <f>AY39+AY46+AY50+AY55+AY65</f>
        <v>805.90000000000009</v>
      </c>
      <c r="AZ37" s="20">
        <f>AZ39+AZ46+AZ50+AZ55+AZ65</f>
        <v>805.90000000000009</v>
      </c>
      <c r="BA37" s="20">
        <f t="shared" ref="BA37:BN37" si="39">BA39+BA46+BA50+BA55+BA65</f>
        <v>1305.9000000000001</v>
      </c>
      <c r="BB37" s="20">
        <f t="shared" si="39"/>
        <v>2324</v>
      </c>
      <c r="BC37" s="20">
        <f t="shared" si="39"/>
        <v>2624.1000000000004</v>
      </c>
      <c r="BD37" s="20">
        <f t="shared" si="39"/>
        <v>2558.8000000000002</v>
      </c>
      <c r="BE37" s="20">
        <f t="shared" si="39"/>
        <v>2081.4373000000001</v>
      </c>
      <c r="BF37" s="20">
        <f>BF39+BF46+BF50+BF55+BF65+BF51+BF45</f>
        <v>-23981.633570000002</v>
      </c>
      <c r="BG37" s="20">
        <f t="shared" si="39"/>
        <v>1690.1</v>
      </c>
      <c r="BH37" s="20">
        <f t="shared" si="39"/>
        <v>1787.3</v>
      </c>
      <c r="BI37" s="20">
        <f t="shared" si="39"/>
        <v>1799.5</v>
      </c>
      <c r="BJ37" s="20">
        <f t="shared" si="39"/>
        <v>2198.6999999999998</v>
      </c>
      <c r="BK37" s="20">
        <f t="shared" si="39"/>
        <v>2704.3999999999996</v>
      </c>
      <c r="BL37" s="20">
        <f t="shared" si="39"/>
        <v>2743.7999999999997</v>
      </c>
      <c r="BM37" s="20">
        <f t="shared" si="39"/>
        <v>2735.5999999999995</v>
      </c>
      <c r="BN37" s="20">
        <f t="shared" si="39"/>
        <v>2879.3268600000001</v>
      </c>
      <c r="BO37" s="20">
        <f>BO39+BO46+BO50+BO55+BO65+BO51+BO45</f>
        <v>-12585.21183</v>
      </c>
      <c r="BP37" s="20">
        <f t="shared" ref="BP37:BV37" si="40">BP39+BP46+BP50+BP55+BP65</f>
        <v>2100.1</v>
      </c>
      <c r="BQ37" s="20">
        <f t="shared" si="40"/>
        <v>2124.5</v>
      </c>
      <c r="BR37" s="20">
        <f t="shared" si="40"/>
        <v>2134.5</v>
      </c>
      <c r="BS37" s="20">
        <f t="shared" si="40"/>
        <v>2100.1</v>
      </c>
      <c r="BT37" s="20">
        <f t="shared" si="40"/>
        <v>2388.6999999999998</v>
      </c>
      <c r="BU37" s="20">
        <f t="shared" si="40"/>
        <v>3563.7</v>
      </c>
      <c r="BV37" s="20">
        <f t="shared" si="40"/>
        <v>1740.5</v>
      </c>
      <c r="BW37" s="20">
        <f>BW39+BW46+BW50+BW55+BW65</f>
        <v>3050.1</v>
      </c>
      <c r="BX37" s="24">
        <f t="shared" si="7"/>
        <v>950</v>
      </c>
      <c r="BY37" s="25">
        <f t="shared" si="8"/>
        <v>145.23594114565975</v>
      </c>
      <c r="BZ37" s="20">
        <f>BZ39+BZ46+BZ50+BZ55+BZ65</f>
        <v>3051.5</v>
      </c>
      <c r="CA37" s="20">
        <f>CA39+CA46+CA50+CA55+CA65</f>
        <v>4273.1102899999996</v>
      </c>
      <c r="CB37" s="20">
        <f>CB39+CB46+CB50+CB55+CB65+CB51+CB45</f>
        <v>-27260.503789999999</v>
      </c>
      <c r="CC37" s="28">
        <f t="shared" si="9"/>
        <v>203.47175324984525</v>
      </c>
      <c r="CD37" s="28">
        <f t="shared" si="10"/>
        <v>140.09738336447987</v>
      </c>
      <c r="CE37" s="28">
        <f t="shared" si="11"/>
        <v>148.40657201384909</v>
      </c>
      <c r="CF37" s="20">
        <f>CF39+CF46+CF50+CF55+CF65</f>
        <v>2299.9</v>
      </c>
      <c r="CG37" s="20">
        <f>CG39+CG46+CG50+CG55+CG65</f>
        <v>2299.9</v>
      </c>
      <c r="CH37" s="20">
        <f t="shared" si="12"/>
        <v>0</v>
      </c>
      <c r="CI37" s="20">
        <f t="shared" si="13"/>
        <v>100</v>
      </c>
      <c r="CJ37" s="20">
        <f>CJ39+CJ46+CJ50+CJ55+CJ65</f>
        <v>2354.8000000000002</v>
      </c>
      <c r="CK37" s="20">
        <f>CK39+CK46+CK50+CK55+CK65</f>
        <v>2400.1999999999998</v>
      </c>
    </row>
    <row r="38" spans="1:89" s="26" customFormat="1" ht="22.5" customHeight="1">
      <c r="A38" s="18"/>
      <c r="B38" s="19" t="s">
        <v>94</v>
      </c>
      <c r="C38" s="20">
        <f t="shared" ref="C38:BN38" si="41">C37/C127*100</f>
        <v>9.0002205228294496</v>
      </c>
      <c r="D38" s="20">
        <f t="shared" si="41"/>
        <v>4.7543987144187758</v>
      </c>
      <c r="E38" s="20">
        <f t="shared" si="41"/>
        <v>2.1411443583673506</v>
      </c>
      <c r="F38" s="20">
        <f t="shared" si="41"/>
        <v>2.1224650918180243</v>
      </c>
      <c r="G38" s="20">
        <f t="shared" si="41"/>
        <v>2.5749937944969368</v>
      </c>
      <c r="H38" s="20">
        <f t="shared" si="41"/>
        <v>1.9472600599967631</v>
      </c>
      <c r="I38" s="20">
        <f t="shared" si="41"/>
        <v>1.8324915691822665</v>
      </c>
      <c r="J38" s="20">
        <f t="shared" si="41"/>
        <v>2.168135886736489</v>
      </c>
      <c r="K38" s="20">
        <f t="shared" si="41"/>
        <v>2.4155966730243623</v>
      </c>
      <c r="L38" s="20">
        <f t="shared" si="41"/>
        <v>2.3602955777170744</v>
      </c>
      <c r="M38" s="20">
        <f t="shared" si="41"/>
        <v>0.75862255204926288</v>
      </c>
      <c r="N38" s="20">
        <f t="shared" si="41"/>
        <v>3.0900671253073471</v>
      </c>
      <c r="O38" s="20">
        <f t="shared" si="41"/>
        <v>0.82660193730428499</v>
      </c>
      <c r="P38" s="20">
        <f t="shared" si="41"/>
        <v>0.39340534246339531</v>
      </c>
      <c r="Q38" s="20">
        <f t="shared" si="41"/>
        <v>-26.718511096759535</v>
      </c>
      <c r="R38" s="20">
        <f t="shared" si="41"/>
        <v>0.26399924259527641</v>
      </c>
      <c r="S38" s="20">
        <f t="shared" si="41"/>
        <v>1.1428523161131197</v>
      </c>
      <c r="T38" s="20">
        <f t="shared" si="41"/>
        <v>1.1416925000328171</v>
      </c>
      <c r="U38" s="20">
        <f t="shared" si="41"/>
        <v>-6.283213827394035</v>
      </c>
      <c r="V38" s="20">
        <f t="shared" si="41"/>
        <v>0.32230537923911523</v>
      </c>
      <c r="W38" s="20">
        <f t="shared" si="41"/>
        <v>0.47216808022370577</v>
      </c>
      <c r="X38" s="20">
        <f t="shared" si="41"/>
        <v>0.51064208989397952</v>
      </c>
      <c r="Y38" s="20">
        <f t="shared" si="41"/>
        <v>0.1658553306894284</v>
      </c>
      <c r="Z38" s="20">
        <f t="shared" si="41"/>
        <v>0.33771160949559953</v>
      </c>
      <c r="AA38" s="20">
        <f t="shared" si="41"/>
        <v>1.8683524797537716</v>
      </c>
      <c r="AB38" s="20">
        <f t="shared" si="41"/>
        <v>1.9213493073697658</v>
      </c>
      <c r="AC38" s="20">
        <f t="shared" si="41"/>
        <v>1.3770901158369895</v>
      </c>
      <c r="AD38" s="20">
        <f t="shared" si="41"/>
        <v>0.33595773789907468</v>
      </c>
      <c r="AE38" s="20">
        <f t="shared" si="41"/>
        <v>1.9357784352744032</v>
      </c>
      <c r="AF38" s="20">
        <f t="shared" si="41"/>
        <v>1.9983048929114395</v>
      </c>
      <c r="AG38" s="20">
        <f t="shared" si="41"/>
        <v>-34.691086495299793</v>
      </c>
      <c r="AH38" s="20">
        <f t="shared" si="41"/>
        <v>1.5753143588547451</v>
      </c>
      <c r="AI38" s="20">
        <f t="shared" si="41"/>
        <v>0.29922818633101855</v>
      </c>
      <c r="AJ38" s="20">
        <f t="shared" si="41"/>
        <v>0.29915466575699495</v>
      </c>
      <c r="AK38" s="20">
        <f t="shared" si="41"/>
        <v>2.440392484483068</v>
      </c>
      <c r="AL38" s="20">
        <f t="shared" si="41"/>
        <v>1.8164865022046739</v>
      </c>
      <c r="AM38" s="20">
        <f t="shared" si="41"/>
        <v>30.236018169102607</v>
      </c>
      <c r="AN38" s="20">
        <f t="shared" si="41"/>
        <v>0.49319758709705874</v>
      </c>
      <c r="AO38" s="20">
        <f t="shared" si="41"/>
        <v>0.49891287778625659</v>
      </c>
      <c r="AP38" s="20">
        <f t="shared" si="41"/>
        <v>0.50462684902941635</v>
      </c>
      <c r="AQ38" s="20">
        <f t="shared" si="41"/>
        <v>1.2058121102610895</v>
      </c>
      <c r="AR38" s="20">
        <f t="shared" si="41"/>
        <v>1.1884038375951371</v>
      </c>
      <c r="AS38" s="20">
        <f t="shared" si="41"/>
        <v>1.892398910022046</v>
      </c>
      <c r="AT38" s="20">
        <f t="shared" si="41"/>
        <v>2.6861839321629151</v>
      </c>
      <c r="AU38" s="20">
        <f t="shared" si="41"/>
        <v>2.3507056051050634</v>
      </c>
      <c r="AV38" s="20">
        <f t="shared" si="41"/>
        <v>2.5724502047668341</v>
      </c>
      <c r="AW38" s="20">
        <f t="shared" si="41"/>
        <v>-5.653965611558025</v>
      </c>
      <c r="AX38" s="20">
        <f t="shared" si="41"/>
        <v>1.2157811315753098</v>
      </c>
      <c r="AY38" s="20">
        <f t="shared" si="41"/>
        <v>1.5820448371055169</v>
      </c>
      <c r="AZ38" s="20">
        <f t="shared" si="41"/>
        <v>1.5815387735294295</v>
      </c>
      <c r="BA38" s="20">
        <f t="shared" si="41"/>
        <v>1.8340622393002504</v>
      </c>
      <c r="BB38" s="20">
        <f t="shared" si="41"/>
        <v>2.9878954236601718</v>
      </c>
      <c r="BC38" s="20">
        <f t="shared" si="41"/>
        <v>3.9098329146514814</v>
      </c>
      <c r="BD38" s="20">
        <f t="shared" si="41"/>
        <v>2.7593554746052598</v>
      </c>
      <c r="BE38" s="20">
        <f t="shared" si="41"/>
        <v>2.2201182388228</v>
      </c>
      <c r="BF38" s="20">
        <f t="shared" si="41"/>
        <v>-18.163980323830568</v>
      </c>
      <c r="BG38" s="20">
        <f t="shared" si="41"/>
        <v>2.5974045130572088</v>
      </c>
      <c r="BH38" s="20">
        <f t="shared" si="41"/>
        <v>3.1061005213052462</v>
      </c>
      <c r="BI38" s="20">
        <f t="shared" si="41"/>
        <v>3.125993320966364</v>
      </c>
      <c r="BJ38" s="21">
        <f t="shared" si="41"/>
        <v>3.2640354861983267</v>
      </c>
      <c r="BK38" s="22">
        <f t="shared" si="41"/>
        <v>3.0900365630712976</v>
      </c>
      <c r="BL38" s="20">
        <f t="shared" si="41"/>
        <v>2.6448533898329587</v>
      </c>
      <c r="BM38" s="20">
        <f t="shared" si="41"/>
        <v>2.6741820080696064</v>
      </c>
      <c r="BN38" s="20">
        <f t="shared" si="41"/>
        <v>2.7076378225262556</v>
      </c>
      <c r="BO38" s="20">
        <f t="shared" ref="BO38:BV38" si="42">BO37/BO127*100</f>
        <v>-11.038344158322511</v>
      </c>
      <c r="BP38" s="20">
        <f t="shared" si="42"/>
        <v>2.9069179161033514</v>
      </c>
      <c r="BQ38" s="20">
        <f t="shared" si="42"/>
        <v>3.4197677411224765</v>
      </c>
      <c r="BR38" s="20">
        <f t="shared" si="42"/>
        <v>3.431693983599494</v>
      </c>
      <c r="BS38" s="22">
        <f t="shared" si="42"/>
        <v>2.8707107131189336</v>
      </c>
      <c r="BT38" s="20">
        <f t="shared" si="42"/>
        <v>2.3247620688212103</v>
      </c>
      <c r="BU38" s="20">
        <f t="shared" si="42"/>
        <v>3.4046191693138121</v>
      </c>
      <c r="BV38" s="20">
        <f t="shared" si="42"/>
        <v>2.7190851500925635</v>
      </c>
      <c r="BW38" s="20">
        <f>BW37/BW127*100</f>
        <v>2.8243078820607694</v>
      </c>
      <c r="BX38" s="24"/>
      <c r="BY38" s="25"/>
      <c r="BZ38" s="20">
        <f>BZ37/BZ127*100</f>
        <v>2.8716513477422505</v>
      </c>
      <c r="CA38" s="20">
        <f>CA37/CA127*100</f>
        <v>3.9983826002593696</v>
      </c>
      <c r="CB38" s="20">
        <f>CB37/CB127*100</f>
        <v>-21.347226362386486</v>
      </c>
      <c r="CC38" s="28"/>
      <c r="CD38" s="28"/>
      <c r="CE38" s="28"/>
      <c r="CF38" s="20">
        <f>CF37/CF127*100</f>
        <v>3.2754268695866515</v>
      </c>
      <c r="CG38" s="20">
        <f>CG37/CG127*100</f>
        <v>2.9329173608823118</v>
      </c>
      <c r="CH38" s="20">
        <f t="shared" si="12"/>
        <v>-0.34250950870433972</v>
      </c>
      <c r="CI38" s="20">
        <f t="shared" si="13"/>
        <v>89.543057368044259</v>
      </c>
      <c r="CJ38" s="20">
        <f>CJ37/CJ127*100</f>
        <v>3.4311224600024461</v>
      </c>
      <c r="CK38" s="20">
        <f>CK37/CK127*100</f>
        <v>3.4217008017857138</v>
      </c>
    </row>
    <row r="39" spans="1:89" ht="54" customHeight="1">
      <c r="A39" s="18" t="s">
        <v>147</v>
      </c>
      <c r="B39" s="19" t="s">
        <v>148</v>
      </c>
      <c r="C39" s="20">
        <f t="shared" ref="C39:U39" si="43">C40+C44</f>
        <v>2051.9010800000001</v>
      </c>
      <c r="D39" s="20">
        <f t="shared" si="43"/>
        <v>1858</v>
      </c>
      <c r="E39" s="20">
        <f t="shared" si="43"/>
        <v>261.2</v>
      </c>
      <c r="F39" s="20">
        <f t="shared" si="43"/>
        <v>157.93666999999999</v>
      </c>
      <c r="G39" s="20">
        <f t="shared" si="43"/>
        <v>1102</v>
      </c>
      <c r="H39" s="20">
        <f t="shared" si="43"/>
        <v>953.2</v>
      </c>
      <c r="I39" s="20">
        <f t="shared" si="43"/>
        <v>876.95874000000003</v>
      </c>
      <c r="J39" s="20">
        <f t="shared" si="43"/>
        <v>870.5</v>
      </c>
      <c r="K39" s="20">
        <f t="shared" si="43"/>
        <v>981.5</v>
      </c>
      <c r="L39" s="20">
        <f t="shared" si="43"/>
        <v>939.90006000000005</v>
      </c>
      <c r="M39" s="20">
        <f t="shared" si="43"/>
        <v>939.90006000000005</v>
      </c>
      <c r="N39" s="20">
        <f t="shared" si="43"/>
        <v>1297.5999999999999</v>
      </c>
      <c r="O39" s="20">
        <f t="shared" si="43"/>
        <v>469.6</v>
      </c>
      <c r="P39" s="20">
        <f t="shared" si="43"/>
        <v>155.59934000000001</v>
      </c>
      <c r="Q39" s="20">
        <f t="shared" si="43"/>
        <v>155.59934000000001</v>
      </c>
      <c r="R39" s="20">
        <f t="shared" si="43"/>
        <v>145</v>
      </c>
      <c r="S39" s="20">
        <f t="shared" si="43"/>
        <v>496.2</v>
      </c>
      <c r="T39" s="20">
        <f t="shared" si="43"/>
        <v>496.20251999999999</v>
      </c>
      <c r="U39" s="20">
        <f t="shared" si="43"/>
        <v>541.96591000000001</v>
      </c>
      <c r="V39" s="20">
        <f t="shared" ref="V39:AP39" si="44">V40+V44+V42</f>
        <v>156</v>
      </c>
      <c r="W39" s="20">
        <f t="shared" si="44"/>
        <v>248.8</v>
      </c>
      <c r="X39" s="20">
        <f t="shared" si="44"/>
        <v>255.02851000000001</v>
      </c>
      <c r="Y39" s="20">
        <f t="shared" si="44"/>
        <v>227.76512000000002</v>
      </c>
      <c r="Z39" s="20">
        <f>Z40+Z44+Z42</f>
        <v>160</v>
      </c>
      <c r="AA39" s="20">
        <f>AA40+AA44+AA42</f>
        <v>1014.3</v>
      </c>
      <c r="AB39" s="20">
        <f>AB40+AB44+AB42</f>
        <v>1014.62637</v>
      </c>
      <c r="AC39" s="20">
        <f>AC40+AC44+AC42</f>
        <v>1296.4234099999999</v>
      </c>
      <c r="AD39" s="20">
        <f t="shared" si="44"/>
        <v>166.8</v>
      </c>
      <c r="AE39" s="20">
        <f t="shared" si="44"/>
        <v>976.9</v>
      </c>
      <c r="AF39" s="20">
        <f t="shared" si="44"/>
        <v>984.30611999999996</v>
      </c>
      <c r="AG39" s="20">
        <f t="shared" si="44"/>
        <v>1023.17938</v>
      </c>
      <c r="AH39" s="20">
        <f t="shared" si="44"/>
        <v>854</v>
      </c>
      <c r="AI39" s="20">
        <f t="shared" si="44"/>
        <v>159.5</v>
      </c>
      <c r="AJ39" s="20">
        <f t="shared" si="44"/>
        <v>159.5</v>
      </c>
      <c r="AK39" s="20">
        <f t="shared" si="44"/>
        <v>1421.6999999999998</v>
      </c>
      <c r="AL39" s="20">
        <f t="shared" si="44"/>
        <v>766.49669999999992</v>
      </c>
      <c r="AM39" s="20">
        <f t="shared" si="44"/>
        <v>583.67509999999993</v>
      </c>
      <c r="AN39" s="20">
        <f t="shared" si="44"/>
        <v>256.3</v>
      </c>
      <c r="AO39" s="20">
        <f t="shared" si="44"/>
        <v>256.3</v>
      </c>
      <c r="AP39" s="20">
        <f t="shared" si="44"/>
        <v>256.3</v>
      </c>
      <c r="AQ39" s="20">
        <v>256.3</v>
      </c>
      <c r="AR39" s="20">
        <v>256.3</v>
      </c>
      <c r="AS39" s="20">
        <v>256.3</v>
      </c>
      <c r="AT39" s="20">
        <f t="shared" ref="AT39:AZ39" si="45">AT40+AT44+AT42</f>
        <v>256.3</v>
      </c>
      <c r="AU39" s="20">
        <f t="shared" si="45"/>
        <v>187</v>
      </c>
      <c r="AV39" s="20">
        <f t="shared" si="45"/>
        <v>214.06222</v>
      </c>
      <c r="AW39" s="20">
        <f t="shared" si="45"/>
        <v>1363.9473500000001</v>
      </c>
      <c r="AX39" s="20">
        <f t="shared" si="45"/>
        <v>805.90000000000009</v>
      </c>
      <c r="AY39" s="20">
        <f t="shared" si="45"/>
        <v>805.90000000000009</v>
      </c>
      <c r="AZ39" s="20">
        <f t="shared" si="45"/>
        <v>805.90000000000009</v>
      </c>
      <c r="BA39" s="20">
        <v>805.9</v>
      </c>
      <c r="BB39" s="20">
        <v>1324</v>
      </c>
      <c r="BC39" s="20">
        <f t="shared" ref="BC39:BO39" si="46">BC40+BC44+BC42</f>
        <v>1324.1000000000001</v>
      </c>
      <c r="BD39" s="20">
        <f t="shared" si="46"/>
        <v>1245.9000000000001</v>
      </c>
      <c r="BE39" s="20">
        <f t="shared" si="46"/>
        <v>678.18705</v>
      </c>
      <c r="BF39" s="20">
        <f t="shared" si="46"/>
        <v>809.42523000000006</v>
      </c>
      <c r="BG39" s="20">
        <f t="shared" si="46"/>
        <v>437.59999999999997</v>
      </c>
      <c r="BH39" s="20">
        <f t="shared" si="46"/>
        <v>437.59999999999997</v>
      </c>
      <c r="BI39" s="20">
        <f t="shared" si="46"/>
        <v>437.59999999999997</v>
      </c>
      <c r="BJ39" s="20">
        <f t="shared" si="46"/>
        <v>946.2</v>
      </c>
      <c r="BK39" s="20">
        <f t="shared" si="46"/>
        <v>946.2</v>
      </c>
      <c r="BL39" s="20">
        <f t="shared" si="46"/>
        <v>821.4</v>
      </c>
      <c r="BM39" s="20">
        <f t="shared" si="46"/>
        <v>821.4</v>
      </c>
      <c r="BN39" s="20">
        <f t="shared" si="46"/>
        <v>810.76648999999998</v>
      </c>
      <c r="BO39" s="20">
        <f t="shared" si="46"/>
        <v>1235.9826599999999</v>
      </c>
      <c r="BP39" s="20">
        <f t="shared" ref="BP39:BV39" si="47">BP40+BP44+BP42</f>
        <v>713.5</v>
      </c>
      <c r="BQ39" s="20">
        <f t="shared" si="47"/>
        <v>713.5</v>
      </c>
      <c r="BR39" s="20">
        <f t="shared" si="47"/>
        <v>713.5</v>
      </c>
      <c r="BS39" s="20">
        <f t="shared" si="47"/>
        <v>713.5</v>
      </c>
      <c r="BT39" s="20">
        <f t="shared" si="47"/>
        <v>713.5</v>
      </c>
      <c r="BU39" s="20">
        <f t="shared" si="47"/>
        <v>1773.5</v>
      </c>
      <c r="BV39" s="20">
        <f t="shared" si="47"/>
        <v>313.8</v>
      </c>
      <c r="BW39" s="20">
        <f>BW40+BW44+BW42</f>
        <v>1259.8999999999999</v>
      </c>
      <c r="BX39" s="24">
        <f t="shared" si="7"/>
        <v>546.39999999999986</v>
      </c>
      <c r="BY39" s="25">
        <f t="shared" si="8"/>
        <v>176.58023826208827</v>
      </c>
      <c r="BZ39" s="20">
        <f>BZ40+BZ44+BZ42</f>
        <v>1242.9000000000001</v>
      </c>
      <c r="CA39" s="20">
        <f>CA40+CA44+CA42</f>
        <v>2497.0102699999998</v>
      </c>
      <c r="CB39" s="20">
        <f>CB40+CB44+CB42</f>
        <v>1027.1172999999999</v>
      </c>
      <c r="CC39" s="28">
        <f t="shared" si="9"/>
        <v>349.96640084092496</v>
      </c>
      <c r="CD39" s="28">
        <f t="shared" si="10"/>
        <v>198.19114771013574</v>
      </c>
      <c r="CE39" s="28">
        <f t="shared" si="11"/>
        <v>307.98143495052437</v>
      </c>
      <c r="CF39" s="20">
        <f>CF40+CF44+CF42</f>
        <v>753.5</v>
      </c>
      <c r="CG39" s="20">
        <f>CG40+CG44+CG42</f>
        <v>753.5</v>
      </c>
      <c r="CH39" s="20">
        <f t="shared" si="12"/>
        <v>0</v>
      </c>
      <c r="CI39" s="20">
        <f t="shared" si="13"/>
        <v>100</v>
      </c>
      <c r="CJ39" s="20">
        <f>CJ40+CJ44+CJ42</f>
        <v>753.5</v>
      </c>
      <c r="CK39" s="20">
        <f>CK40+CK44+CK42</f>
        <v>753.5</v>
      </c>
    </row>
    <row r="40" spans="1:89" ht="89.25" hidden="1">
      <c r="A40" s="10" t="s">
        <v>149</v>
      </c>
      <c r="B40" s="40" t="s">
        <v>150</v>
      </c>
      <c r="C40" s="28">
        <v>1962.58662</v>
      </c>
      <c r="D40" s="28">
        <v>1858</v>
      </c>
      <c r="E40" s="28">
        <v>0</v>
      </c>
      <c r="F40" s="28">
        <v>-99.637879999999996</v>
      </c>
      <c r="G40" s="28">
        <v>950</v>
      </c>
      <c r="H40" s="28">
        <v>939.2</v>
      </c>
      <c r="I40" s="28">
        <v>858.70236</v>
      </c>
      <c r="J40" s="28">
        <v>862.5</v>
      </c>
      <c r="K40" s="28">
        <v>722.5</v>
      </c>
      <c r="L40" s="28">
        <v>681.34639000000004</v>
      </c>
      <c r="M40" s="28">
        <v>681.34639000000004</v>
      </c>
      <c r="N40" s="28">
        <v>997.6</v>
      </c>
      <c r="O40" s="28">
        <v>0</v>
      </c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>
        <v>6.948E-2</v>
      </c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0"/>
      <c r="BK40" s="23"/>
      <c r="BL40" s="28"/>
      <c r="BM40" s="28"/>
      <c r="BN40" s="28"/>
      <c r="BO40" s="28"/>
      <c r="BP40" s="28"/>
      <c r="BQ40" s="28"/>
      <c r="BR40" s="28"/>
      <c r="BS40" s="23"/>
      <c r="BT40" s="28"/>
      <c r="BU40" s="28"/>
      <c r="BV40" s="28"/>
      <c r="BW40" s="28"/>
      <c r="BX40" s="24">
        <f t="shared" si="7"/>
        <v>0</v>
      </c>
      <c r="BY40" s="25" t="e">
        <f t="shared" si="8"/>
        <v>#DIV/0!</v>
      </c>
      <c r="BZ40" s="28"/>
      <c r="CA40" s="28"/>
      <c r="CB40" s="28"/>
      <c r="CC40" s="28" t="e">
        <f t="shared" si="9"/>
        <v>#DIV/0!</v>
      </c>
      <c r="CD40" s="28" t="e">
        <f t="shared" si="10"/>
        <v>#DIV/0!</v>
      </c>
      <c r="CE40" s="28" t="e">
        <f t="shared" si="11"/>
        <v>#DIV/0!</v>
      </c>
      <c r="CF40" s="28"/>
      <c r="CG40" s="28"/>
      <c r="CH40" s="20">
        <f t="shared" si="12"/>
        <v>0</v>
      </c>
      <c r="CI40" s="20" t="e">
        <f t="shared" si="13"/>
        <v>#DIV/0!</v>
      </c>
      <c r="CJ40" s="28"/>
      <c r="CK40" s="28"/>
    </row>
    <row r="41" spans="1:89" ht="63.75" hidden="1">
      <c r="A41" s="10" t="s">
        <v>151</v>
      </c>
      <c r="B41" s="40" t="s">
        <v>152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0"/>
      <c r="BK41" s="23"/>
      <c r="BL41" s="28"/>
      <c r="BM41" s="28"/>
      <c r="BN41" s="28"/>
      <c r="BO41" s="28"/>
      <c r="BP41" s="28"/>
      <c r="BQ41" s="28"/>
      <c r="BR41" s="28"/>
      <c r="BS41" s="23"/>
      <c r="BT41" s="28"/>
      <c r="BU41" s="28"/>
      <c r="BV41" s="28"/>
      <c r="BW41" s="28"/>
      <c r="BX41" s="24">
        <f t="shared" si="7"/>
        <v>0</v>
      </c>
      <c r="BY41" s="25" t="e">
        <f t="shared" si="8"/>
        <v>#DIV/0!</v>
      </c>
      <c r="BZ41" s="28"/>
      <c r="CA41" s="28"/>
      <c r="CB41" s="28"/>
      <c r="CC41" s="28" t="e">
        <f t="shared" si="9"/>
        <v>#DIV/0!</v>
      </c>
      <c r="CD41" s="28" t="e">
        <f t="shared" si="10"/>
        <v>#DIV/0!</v>
      </c>
      <c r="CE41" s="28" t="e">
        <f t="shared" si="11"/>
        <v>#DIV/0!</v>
      </c>
      <c r="CF41" s="28"/>
      <c r="CG41" s="28"/>
      <c r="CH41" s="20">
        <f t="shared" si="12"/>
        <v>0</v>
      </c>
      <c r="CI41" s="20" t="e">
        <f t="shared" si="13"/>
        <v>#DIV/0!</v>
      </c>
      <c r="CJ41" s="28"/>
      <c r="CK41" s="28"/>
    </row>
    <row r="42" spans="1:89" ht="45.75" hidden="1" customHeight="1">
      <c r="A42" s="10" t="s">
        <v>153</v>
      </c>
      <c r="B42" s="40" t="s">
        <v>154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>
        <v>211</v>
      </c>
      <c r="X42" s="28">
        <v>211.79230000000001</v>
      </c>
      <c r="Y42" s="28">
        <v>211.79230000000001</v>
      </c>
      <c r="Z42" s="28">
        <v>82</v>
      </c>
      <c r="AA42" s="28">
        <v>941.4</v>
      </c>
      <c r="AB42" s="28">
        <v>941.72871999999995</v>
      </c>
      <c r="AC42" s="28">
        <v>1242.02576</v>
      </c>
      <c r="AD42" s="28">
        <v>73.5</v>
      </c>
      <c r="AE42" s="28">
        <v>953.6</v>
      </c>
      <c r="AF42" s="28">
        <v>961.69272000000001</v>
      </c>
      <c r="AG42" s="28">
        <f>1023.17938-AG44</f>
        <v>1000.5659800000001</v>
      </c>
      <c r="AH42" s="28">
        <v>777.7</v>
      </c>
      <c r="AI42" s="28">
        <v>83.2</v>
      </c>
      <c r="AJ42" s="28">
        <v>83.2</v>
      </c>
      <c r="AK42" s="28">
        <v>1399.6</v>
      </c>
      <c r="AL42" s="28">
        <v>744.41305999999997</v>
      </c>
      <c r="AM42" s="28">
        <v>561.59145999999998</v>
      </c>
      <c r="AN42" s="28">
        <v>180</v>
      </c>
      <c r="AO42" s="28">
        <v>180</v>
      </c>
      <c r="AP42" s="28">
        <v>180</v>
      </c>
      <c r="AQ42" s="28"/>
      <c r="AR42" s="28"/>
      <c r="AS42" s="28"/>
      <c r="AT42" s="28">
        <v>180</v>
      </c>
      <c r="AU42" s="28">
        <v>187</v>
      </c>
      <c r="AV42" s="28">
        <v>214.06222</v>
      </c>
      <c r="AW42" s="28">
        <v>1363.87787</v>
      </c>
      <c r="AX42" s="28">
        <v>727.7</v>
      </c>
      <c r="AY42" s="28">
        <v>727.7</v>
      </c>
      <c r="AZ42" s="28">
        <v>727.7</v>
      </c>
      <c r="BA42" s="28"/>
      <c r="BB42" s="28">
        <v>727.7</v>
      </c>
      <c r="BC42" s="28">
        <v>1245.9000000000001</v>
      </c>
      <c r="BD42" s="28">
        <v>1245.9000000000001</v>
      </c>
      <c r="BE42" s="28">
        <v>678.18705</v>
      </c>
      <c r="BF42" s="28">
        <v>731.22523000000001</v>
      </c>
      <c r="BG42" s="28">
        <v>359.4</v>
      </c>
      <c r="BH42" s="28">
        <v>359.4</v>
      </c>
      <c r="BI42" s="28">
        <v>359.4</v>
      </c>
      <c r="BJ42" s="20">
        <v>868</v>
      </c>
      <c r="BK42" s="23">
        <v>868</v>
      </c>
      <c r="BL42" s="28">
        <v>798</v>
      </c>
      <c r="BM42" s="28">
        <v>798</v>
      </c>
      <c r="BN42" s="28">
        <v>794.07556</v>
      </c>
      <c r="BO42" s="28">
        <f>1241.36646-5.3838</f>
        <v>1235.9826599999999</v>
      </c>
      <c r="BP42" s="28">
        <v>579.4</v>
      </c>
      <c r="BQ42" s="28">
        <v>579.4</v>
      </c>
      <c r="BR42" s="28">
        <v>579.4</v>
      </c>
      <c r="BS42" s="23">
        <v>579.4</v>
      </c>
      <c r="BT42" s="28">
        <v>579.4</v>
      </c>
      <c r="BU42" s="28">
        <v>1639.4</v>
      </c>
      <c r="BV42" s="28">
        <v>293.3</v>
      </c>
      <c r="BW42" s="28">
        <v>1225.8</v>
      </c>
      <c r="BX42" s="24">
        <f t="shared" si="7"/>
        <v>646.4</v>
      </c>
      <c r="BY42" s="25">
        <f t="shared" si="8"/>
        <v>211.56368657231619</v>
      </c>
      <c r="BZ42" s="28">
        <v>1222.4000000000001</v>
      </c>
      <c r="CA42" s="28">
        <v>2422.2707999999998</v>
      </c>
      <c r="CB42" s="28">
        <v>797.92413999999997</v>
      </c>
      <c r="CC42" s="28">
        <f t="shared" si="9"/>
        <v>418.06537797721779</v>
      </c>
      <c r="CD42" s="28">
        <f t="shared" si="10"/>
        <v>197.60734214390601</v>
      </c>
      <c r="CE42" s="28">
        <f t="shared" si="11"/>
        <v>305.04286015300607</v>
      </c>
      <c r="CF42" s="28">
        <v>640.70000000000005</v>
      </c>
      <c r="CG42" s="28">
        <v>640.70000000000005</v>
      </c>
      <c r="CH42" s="20">
        <f t="shared" si="12"/>
        <v>0</v>
      </c>
      <c r="CI42" s="20">
        <f t="shared" si="13"/>
        <v>100</v>
      </c>
      <c r="CJ42" s="28">
        <v>640.70000000000005</v>
      </c>
      <c r="CK42" s="28">
        <v>640.70000000000005</v>
      </c>
    </row>
    <row r="43" spans="1:89" ht="56.25" hidden="1" customHeight="1">
      <c r="A43" s="10" t="s">
        <v>155</v>
      </c>
      <c r="B43" s="40" t="s">
        <v>156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0"/>
      <c r="BK43" s="23"/>
      <c r="BL43" s="28"/>
      <c r="BM43" s="28"/>
      <c r="BN43" s="28">
        <f>0.02284</f>
        <v>2.2839999999999999E-2</v>
      </c>
      <c r="BO43" s="28">
        <v>2.2839999999999999E-2</v>
      </c>
      <c r="BP43" s="28"/>
      <c r="BQ43" s="28"/>
      <c r="BR43" s="28"/>
      <c r="BS43" s="23"/>
      <c r="BT43" s="28"/>
      <c r="BU43" s="28"/>
      <c r="BV43" s="28"/>
      <c r="BW43" s="28"/>
      <c r="BX43" s="24">
        <f t="shared" si="7"/>
        <v>0</v>
      </c>
      <c r="BY43" s="25" t="e">
        <f t="shared" si="8"/>
        <v>#DIV/0!</v>
      </c>
      <c r="BZ43" s="28"/>
      <c r="CA43" s="28">
        <v>0</v>
      </c>
      <c r="CB43" s="28">
        <v>2.2839999999999999E-2</v>
      </c>
      <c r="CC43" s="28" t="e">
        <f t="shared" si="9"/>
        <v>#DIV/0!</v>
      </c>
      <c r="CD43" s="28" t="e">
        <f t="shared" si="10"/>
        <v>#DIV/0!</v>
      </c>
      <c r="CE43" s="28">
        <f t="shared" si="11"/>
        <v>0</v>
      </c>
      <c r="CF43" s="28"/>
      <c r="CG43" s="28"/>
      <c r="CH43" s="20">
        <f t="shared" si="12"/>
        <v>0</v>
      </c>
      <c r="CI43" s="20" t="e">
        <f t="shared" si="13"/>
        <v>#DIV/0!</v>
      </c>
      <c r="CJ43" s="28"/>
      <c r="CK43" s="28"/>
    </row>
    <row r="44" spans="1:89" ht="56.25" hidden="1" customHeight="1">
      <c r="A44" s="10" t="s">
        <v>157</v>
      </c>
      <c r="B44" s="40" t="s">
        <v>158</v>
      </c>
      <c r="C44" s="28">
        <v>89.314459999999997</v>
      </c>
      <c r="D44" s="28">
        <v>0</v>
      </c>
      <c r="E44" s="28">
        <v>261.2</v>
      </c>
      <c r="F44" s="28">
        <v>257.57454999999999</v>
      </c>
      <c r="G44" s="28">
        <v>152</v>
      </c>
      <c r="H44" s="28">
        <v>14</v>
      </c>
      <c r="I44" s="28">
        <v>18.25638</v>
      </c>
      <c r="J44" s="28">
        <v>8</v>
      </c>
      <c r="K44" s="28">
        <v>259</v>
      </c>
      <c r="L44" s="28">
        <v>258.55367000000001</v>
      </c>
      <c r="M44" s="28">
        <v>258.55367000000001</v>
      </c>
      <c r="N44" s="28">
        <v>300</v>
      </c>
      <c r="O44" s="28">
        <v>469.6</v>
      </c>
      <c r="P44" s="28">
        <v>155.59934000000001</v>
      </c>
      <c r="Q44" s="28">
        <v>155.59934000000001</v>
      </c>
      <c r="R44" s="28">
        <v>145</v>
      </c>
      <c r="S44" s="28">
        <v>496.2</v>
      </c>
      <c r="T44" s="28">
        <v>496.20251999999999</v>
      </c>
      <c r="U44" s="28">
        <f>541.96591</f>
        <v>541.96591000000001</v>
      </c>
      <c r="V44" s="28">
        <v>156</v>
      </c>
      <c r="W44" s="28">
        <v>37.799999999999997</v>
      </c>
      <c r="X44" s="28">
        <v>43.23621</v>
      </c>
      <c r="Y44" s="28">
        <v>15.97282</v>
      </c>
      <c r="Z44" s="28">
        <v>78</v>
      </c>
      <c r="AA44" s="28">
        <v>72.900000000000006</v>
      </c>
      <c r="AB44" s="28">
        <v>72.897649999999999</v>
      </c>
      <c r="AC44" s="28">
        <f>54.39765</f>
        <v>54.397649999999999</v>
      </c>
      <c r="AD44" s="28">
        <v>93.3</v>
      </c>
      <c r="AE44" s="28">
        <v>23.3</v>
      </c>
      <c r="AF44" s="28">
        <v>22.613399999999999</v>
      </c>
      <c r="AG44" s="28">
        <v>22.613399999999999</v>
      </c>
      <c r="AH44" s="28">
        <v>76.3</v>
      </c>
      <c r="AI44" s="28">
        <v>76.3</v>
      </c>
      <c r="AJ44" s="28">
        <v>76.3</v>
      </c>
      <c r="AK44" s="28">
        <v>22.1</v>
      </c>
      <c r="AL44" s="28">
        <v>22.083639999999999</v>
      </c>
      <c r="AM44" s="28">
        <v>22.083639999999999</v>
      </c>
      <c r="AN44" s="28">
        <v>76.3</v>
      </c>
      <c r="AO44" s="28">
        <v>76.3</v>
      </c>
      <c r="AP44" s="28">
        <v>76.3</v>
      </c>
      <c r="AQ44" s="28"/>
      <c r="AR44" s="28"/>
      <c r="AS44" s="28"/>
      <c r="AT44" s="28">
        <v>76.3</v>
      </c>
      <c r="AU44" s="28">
        <v>0</v>
      </c>
      <c r="AV44" s="28">
        <v>0</v>
      </c>
      <c r="AW44" s="28">
        <v>0</v>
      </c>
      <c r="AX44" s="28">
        <v>78.2</v>
      </c>
      <c r="AY44" s="28">
        <v>78.2</v>
      </c>
      <c r="AZ44" s="28">
        <v>78.2</v>
      </c>
      <c r="BA44" s="28"/>
      <c r="BB44" s="28">
        <v>78.2</v>
      </c>
      <c r="BC44" s="28">
        <v>78.2</v>
      </c>
      <c r="BD44" s="28">
        <v>0</v>
      </c>
      <c r="BE44" s="28">
        <v>0</v>
      </c>
      <c r="BF44" s="28">
        <v>78.2</v>
      </c>
      <c r="BG44" s="28">
        <v>78.2</v>
      </c>
      <c r="BH44" s="28">
        <v>78.2</v>
      </c>
      <c r="BI44" s="28">
        <v>78.2</v>
      </c>
      <c r="BJ44" s="20">
        <v>78.2</v>
      </c>
      <c r="BK44" s="23">
        <v>78.2</v>
      </c>
      <c r="BL44" s="28">
        <v>23.4</v>
      </c>
      <c r="BM44" s="28">
        <v>23.4</v>
      </c>
      <c r="BN44" s="28">
        <v>16.690930000000002</v>
      </c>
      <c r="BO44" s="28">
        <v>0</v>
      </c>
      <c r="BP44" s="28">
        <v>134.1</v>
      </c>
      <c r="BQ44" s="28">
        <v>134.1</v>
      </c>
      <c r="BR44" s="28">
        <v>134.1</v>
      </c>
      <c r="BS44" s="23">
        <v>134.1</v>
      </c>
      <c r="BT44" s="28">
        <v>134.1</v>
      </c>
      <c r="BU44" s="28">
        <v>134.1</v>
      </c>
      <c r="BV44" s="28">
        <v>20.5</v>
      </c>
      <c r="BW44" s="28">
        <v>34.1</v>
      </c>
      <c r="BX44" s="24">
        <f t="shared" si="7"/>
        <v>-100</v>
      </c>
      <c r="BY44" s="25">
        <f t="shared" si="8"/>
        <v>25.42878448918718</v>
      </c>
      <c r="BZ44" s="28">
        <v>20.5</v>
      </c>
      <c r="CA44" s="28">
        <v>74.739469999999997</v>
      </c>
      <c r="CB44" s="28">
        <v>229.19316000000001</v>
      </c>
      <c r="CC44" s="28">
        <f t="shared" si="9"/>
        <v>55.734131245339299</v>
      </c>
      <c r="CD44" s="28">
        <f t="shared" si="10"/>
        <v>219.1773313782991</v>
      </c>
      <c r="CE44" s="28">
        <f t="shared" si="11"/>
        <v>447.78493469207524</v>
      </c>
      <c r="CF44" s="28">
        <v>112.8</v>
      </c>
      <c r="CG44" s="28">
        <v>112.8</v>
      </c>
      <c r="CH44" s="20">
        <f t="shared" si="12"/>
        <v>0</v>
      </c>
      <c r="CI44" s="20">
        <f t="shared" si="13"/>
        <v>100</v>
      </c>
      <c r="CJ44" s="28">
        <v>112.8</v>
      </c>
      <c r="CK44" s="28">
        <v>112.8</v>
      </c>
    </row>
    <row r="45" spans="1:89" ht="22.5" hidden="1" customHeight="1">
      <c r="A45" s="10" t="s">
        <v>159</v>
      </c>
      <c r="B45" s="40" t="s">
        <v>160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>
        <v>11674.614799999999</v>
      </c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>
        <v>-377.64654999999999</v>
      </c>
      <c r="BG45" s="28"/>
      <c r="BH45" s="28"/>
      <c r="BI45" s="28"/>
      <c r="BJ45" s="20"/>
      <c r="BK45" s="23"/>
      <c r="BL45" s="28"/>
      <c r="BM45" s="28"/>
      <c r="BN45" s="28"/>
      <c r="BO45" s="28"/>
      <c r="BP45" s="28"/>
      <c r="BQ45" s="28"/>
      <c r="BR45" s="28"/>
      <c r="BS45" s="23"/>
      <c r="BT45" s="28"/>
      <c r="BU45" s="28"/>
      <c r="BV45" s="28"/>
      <c r="BW45" s="28"/>
      <c r="BX45" s="24">
        <f t="shared" si="7"/>
        <v>0</v>
      </c>
      <c r="BY45" s="25" t="e">
        <f t="shared" si="8"/>
        <v>#DIV/0!</v>
      </c>
      <c r="BZ45" s="28"/>
      <c r="CA45" s="28"/>
      <c r="CB45" s="28">
        <v>-2.0295000000000001</v>
      </c>
      <c r="CC45" s="28" t="e">
        <f t="shared" si="9"/>
        <v>#DIV/0!</v>
      </c>
      <c r="CD45" s="28" t="e">
        <f t="shared" si="10"/>
        <v>#DIV/0!</v>
      </c>
      <c r="CE45" s="28" t="e">
        <f t="shared" si="11"/>
        <v>#DIV/0!</v>
      </c>
      <c r="CF45" s="28"/>
      <c r="CG45" s="28"/>
      <c r="CH45" s="20">
        <f t="shared" si="12"/>
        <v>0</v>
      </c>
      <c r="CI45" s="20" t="e">
        <f t="shared" si="13"/>
        <v>#DIV/0!</v>
      </c>
      <c r="CJ45" s="28"/>
      <c r="CK45" s="28"/>
    </row>
    <row r="46" spans="1:89" ht="42.75" customHeight="1">
      <c r="A46" s="18" t="s">
        <v>161</v>
      </c>
      <c r="B46" s="19" t="s">
        <v>162</v>
      </c>
      <c r="C46" s="20">
        <f>C47</f>
        <v>112.20399999999999</v>
      </c>
      <c r="D46" s="20">
        <f>D47</f>
        <v>0</v>
      </c>
      <c r="E46" s="20">
        <f>E47</f>
        <v>0</v>
      </c>
      <c r="F46" s="20">
        <f>F47+F48</f>
        <v>0</v>
      </c>
      <c r="G46" s="20">
        <f>G47</f>
        <v>0</v>
      </c>
      <c r="H46" s="20">
        <f>H47</f>
        <v>0</v>
      </c>
      <c r="I46" s="20">
        <f>I47+I48</f>
        <v>0</v>
      </c>
      <c r="J46" s="20">
        <f>J47</f>
        <v>0</v>
      </c>
      <c r="K46" s="20">
        <f>K47</f>
        <v>0</v>
      </c>
      <c r="L46" s="20">
        <f>L47+L48</f>
        <v>0</v>
      </c>
      <c r="M46" s="20">
        <f>M47+M48</f>
        <v>0</v>
      </c>
      <c r="N46" s="20">
        <f>N47</f>
        <v>0</v>
      </c>
      <c r="O46" s="20">
        <f>O47</f>
        <v>0</v>
      </c>
      <c r="P46" s="20">
        <f>P47+P48</f>
        <v>0</v>
      </c>
      <c r="Q46" s="20">
        <f>Q47+Q48</f>
        <v>0</v>
      </c>
      <c r="R46" s="20">
        <f>R47</f>
        <v>0</v>
      </c>
      <c r="S46" s="20">
        <f>S47+S48</f>
        <v>35</v>
      </c>
      <c r="T46" s="20">
        <f>T47+T48</f>
        <v>35</v>
      </c>
      <c r="U46" s="20">
        <f>U47+U48</f>
        <v>35</v>
      </c>
      <c r="V46" s="20">
        <f>V47</f>
        <v>0</v>
      </c>
      <c r="W46" s="20">
        <f>W47+W48</f>
        <v>26</v>
      </c>
      <c r="X46" s="20">
        <f>X47+X48</f>
        <v>43.566580000000002</v>
      </c>
      <c r="Y46" s="20">
        <f>Y47+Y48</f>
        <v>43.566580000000002</v>
      </c>
      <c r="Z46" s="20">
        <f>Z47</f>
        <v>0</v>
      </c>
      <c r="AA46" s="20">
        <f>AA47+AA48</f>
        <v>54</v>
      </c>
      <c r="AB46" s="20">
        <f>AB47+AB48</f>
        <v>68.917529999999999</v>
      </c>
      <c r="AC46" s="20">
        <f>AC47+AC48</f>
        <v>104.99227999999999</v>
      </c>
      <c r="AD46" s="20">
        <f>AD47</f>
        <v>0</v>
      </c>
      <c r="AE46" s="20">
        <f>AE47+AE48</f>
        <v>141</v>
      </c>
      <c r="AF46" s="20">
        <f>AF47+AF48</f>
        <v>172.66293999999999</v>
      </c>
      <c r="AG46" s="20">
        <f>AG47+AG48</f>
        <v>136.58819</v>
      </c>
      <c r="AH46" s="20">
        <f>AH47</f>
        <v>0</v>
      </c>
      <c r="AI46" s="20">
        <f>AI47</f>
        <v>0</v>
      </c>
      <c r="AJ46" s="20">
        <f>AJ47</f>
        <v>0</v>
      </c>
      <c r="AK46" s="20">
        <f>AK47+AK48</f>
        <v>938</v>
      </c>
      <c r="AL46" s="20">
        <f>AL47+AL48</f>
        <v>960.81014000000005</v>
      </c>
      <c r="AM46" s="20">
        <f>AM47+AM48</f>
        <v>1055.57809</v>
      </c>
      <c r="AN46" s="20">
        <f>AN47</f>
        <v>0</v>
      </c>
      <c r="AO46" s="20">
        <f>AO47</f>
        <v>0</v>
      </c>
      <c r="AP46" s="20">
        <f>AP47</f>
        <v>0</v>
      </c>
      <c r="AQ46" s="20">
        <v>500</v>
      </c>
      <c r="AR46" s="20">
        <v>500</v>
      </c>
      <c r="AS46" s="20">
        <v>900</v>
      </c>
      <c r="AT46" s="20">
        <f>AT47+AT48</f>
        <v>1150</v>
      </c>
      <c r="AU46" s="20">
        <f>AU47+AU48</f>
        <v>1150</v>
      </c>
      <c r="AV46" s="20">
        <f>AV47+AV48</f>
        <v>1312.9601399999999</v>
      </c>
      <c r="AW46" s="20">
        <f>AW47+AW48</f>
        <v>1339.98534</v>
      </c>
      <c r="AX46" s="20">
        <f>AX47</f>
        <v>0</v>
      </c>
      <c r="AY46" s="20">
        <f>AY47</f>
        <v>0</v>
      </c>
      <c r="AZ46" s="20">
        <f>AZ47</f>
        <v>0</v>
      </c>
      <c r="BA46" s="20">
        <v>500</v>
      </c>
      <c r="BB46" s="20">
        <v>1000</v>
      </c>
      <c r="BC46" s="20">
        <v>1300</v>
      </c>
      <c r="BD46" s="20">
        <v>1300</v>
      </c>
      <c r="BE46" s="20">
        <f t="shared" ref="BE46:BW46" si="48">BE47+BE48</f>
        <v>1381.8450800000001</v>
      </c>
      <c r="BF46" s="20">
        <f t="shared" si="48"/>
        <v>1462.45271</v>
      </c>
      <c r="BG46" s="20">
        <f t="shared" si="48"/>
        <v>1252.5</v>
      </c>
      <c r="BH46" s="20">
        <f t="shared" si="48"/>
        <v>1349.7</v>
      </c>
      <c r="BI46" s="20">
        <f t="shared" si="48"/>
        <v>1361.9</v>
      </c>
      <c r="BJ46" s="20">
        <f t="shared" si="48"/>
        <v>1252.5</v>
      </c>
      <c r="BK46" s="20">
        <f t="shared" si="48"/>
        <v>1252.5</v>
      </c>
      <c r="BL46" s="20">
        <f t="shared" si="48"/>
        <v>1552.5</v>
      </c>
      <c r="BM46" s="20">
        <f t="shared" si="48"/>
        <v>1552.8</v>
      </c>
      <c r="BN46" s="20">
        <f t="shared" si="48"/>
        <v>1707.16426</v>
      </c>
      <c r="BO46" s="20">
        <f t="shared" si="48"/>
        <v>1719.8685800000001</v>
      </c>
      <c r="BP46" s="20">
        <f t="shared" si="48"/>
        <v>1386.6</v>
      </c>
      <c r="BQ46" s="20">
        <f t="shared" si="48"/>
        <v>1411</v>
      </c>
      <c r="BR46" s="20">
        <f t="shared" si="48"/>
        <v>1421</v>
      </c>
      <c r="BS46" s="20">
        <f t="shared" si="48"/>
        <v>1386.6</v>
      </c>
      <c r="BT46" s="20">
        <f t="shared" si="48"/>
        <v>1386.6</v>
      </c>
      <c r="BU46" s="20">
        <f t="shared" si="48"/>
        <v>1386.6</v>
      </c>
      <c r="BV46" s="20">
        <f t="shared" si="48"/>
        <v>1138.0999999999999</v>
      </c>
      <c r="BW46" s="20">
        <f t="shared" si="48"/>
        <v>1501.6</v>
      </c>
      <c r="BX46" s="24">
        <f t="shared" si="7"/>
        <v>115</v>
      </c>
      <c r="BY46" s="25">
        <f t="shared" si="8"/>
        <v>108.29366796480599</v>
      </c>
      <c r="BZ46" s="20">
        <f>BZ47+BZ48</f>
        <v>1520</v>
      </c>
      <c r="CA46" s="20">
        <f>CA47+CA48+CA49</f>
        <v>1487.5000199999999</v>
      </c>
      <c r="CB46" s="20">
        <f>CB47+CB48+CB49</f>
        <v>1784.9990499999999</v>
      </c>
      <c r="CC46" s="28">
        <f t="shared" si="9"/>
        <v>107.27679359584596</v>
      </c>
      <c r="CD46" s="28">
        <f t="shared" si="10"/>
        <v>99.061002930207778</v>
      </c>
      <c r="CE46" s="28">
        <f t="shared" si="11"/>
        <v>87.132799980243263</v>
      </c>
      <c r="CF46" s="20">
        <f>CF47+CF48</f>
        <v>1546.4</v>
      </c>
      <c r="CG46" s="20">
        <f>CG47+CG48</f>
        <v>1546.4</v>
      </c>
      <c r="CH46" s="20">
        <f t="shared" si="12"/>
        <v>0</v>
      </c>
      <c r="CI46" s="20">
        <f t="shared" si="13"/>
        <v>100</v>
      </c>
      <c r="CJ46" s="20">
        <f>CJ47+CJ48</f>
        <v>1601.3</v>
      </c>
      <c r="CK46" s="20">
        <f>CK47+CK48</f>
        <v>1646.7</v>
      </c>
    </row>
    <row r="47" spans="1:89" ht="0.75" hidden="1" customHeight="1">
      <c r="A47" s="10" t="s">
        <v>163</v>
      </c>
      <c r="B47" s="41" t="s">
        <v>164</v>
      </c>
      <c r="C47" s="28">
        <v>112.20399999999999</v>
      </c>
      <c r="D47" s="28">
        <v>0</v>
      </c>
      <c r="E47" s="28">
        <v>0</v>
      </c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0"/>
      <c r="BK47" s="23"/>
      <c r="BL47" s="28"/>
      <c r="BM47" s="28"/>
      <c r="BN47" s="28"/>
      <c r="BO47" s="28"/>
      <c r="BP47" s="28"/>
      <c r="BQ47" s="28"/>
      <c r="BR47" s="28"/>
      <c r="BS47" s="23"/>
      <c r="BT47" s="28"/>
      <c r="BU47" s="28"/>
      <c r="BV47" s="28"/>
      <c r="BW47" s="28"/>
      <c r="BX47" s="24">
        <f t="shared" si="7"/>
        <v>0</v>
      </c>
      <c r="BY47" s="25" t="e">
        <f t="shared" si="8"/>
        <v>#DIV/0!</v>
      </c>
      <c r="BZ47" s="28"/>
      <c r="CA47" s="28"/>
      <c r="CB47" s="28"/>
      <c r="CC47" s="28" t="e">
        <f t="shared" si="9"/>
        <v>#DIV/0!</v>
      </c>
      <c r="CD47" s="28" t="e">
        <f t="shared" si="10"/>
        <v>#DIV/0!</v>
      </c>
      <c r="CE47" s="28" t="e">
        <f t="shared" si="11"/>
        <v>#DIV/0!</v>
      </c>
      <c r="CF47" s="28"/>
      <c r="CG47" s="28"/>
      <c r="CH47" s="20">
        <f t="shared" si="12"/>
        <v>0</v>
      </c>
      <c r="CI47" s="20" t="e">
        <f t="shared" si="13"/>
        <v>#DIV/0!</v>
      </c>
      <c r="CJ47" s="28"/>
      <c r="CK47" s="28"/>
    </row>
    <row r="48" spans="1:89" ht="24.75" hidden="1" customHeight="1">
      <c r="A48" s="10" t="s">
        <v>165</v>
      </c>
      <c r="B48" s="41" t="s">
        <v>166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35</v>
      </c>
      <c r="T48" s="28">
        <v>35</v>
      </c>
      <c r="U48" s="28">
        <v>35</v>
      </c>
      <c r="V48" s="28">
        <v>0</v>
      </c>
      <c r="W48" s="28">
        <v>26</v>
      </c>
      <c r="X48" s="28">
        <v>43.566580000000002</v>
      </c>
      <c r="Y48" s="28">
        <v>43.566580000000002</v>
      </c>
      <c r="Z48" s="28">
        <v>0</v>
      </c>
      <c r="AA48" s="28">
        <v>54</v>
      </c>
      <c r="AB48" s="28">
        <v>68.917529999999999</v>
      </c>
      <c r="AC48" s="28">
        <v>104.99227999999999</v>
      </c>
      <c r="AD48" s="28">
        <v>0</v>
      </c>
      <c r="AE48" s="28">
        <v>141</v>
      </c>
      <c r="AF48" s="28">
        <v>172.66293999999999</v>
      </c>
      <c r="AG48" s="28">
        <v>136.58819</v>
      </c>
      <c r="AH48" s="28">
        <v>0</v>
      </c>
      <c r="AI48" s="28">
        <v>0</v>
      </c>
      <c r="AJ48" s="28">
        <v>0</v>
      </c>
      <c r="AK48" s="28">
        <v>938</v>
      </c>
      <c r="AL48" s="28">
        <v>960.81014000000005</v>
      </c>
      <c r="AM48" s="28">
        <v>1055.57809</v>
      </c>
      <c r="AN48" s="28">
        <v>0</v>
      </c>
      <c r="AO48" s="28">
        <v>3</v>
      </c>
      <c r="AP48" s="28">
        <v>6</v>
      </c>
      <c r="AQ48" s="28"/>
      <c r="AR48" s="28"/>
      <c r="AS48" s="28"/>
      <c r="AT48" s="28">
        <v>1150</v>
      </c>
      <c r="AU48" s="28">
        <v>1150</v>
      </c>
      <c r="AV48" s="28">
        <v>1312.9601399999999</v>
      </c>
      <c r="AW48" s="28">
        <v>1339.98534</v>
      </c>
      <c r="AX48" s="28">
        <v>0</v>
      </c>
      <c r="AY48" s="28">
        <v>0</v>
      </c>
      <c r="AZ48" s="28">
        <v>0</v>
      </c>
      <c r="BA48" s="28"/>
      <c r="BB48" s="28">
        <v>2</v>
      </c>
      <c r="BC48" s="28">
        <v>1300</v>
      </c>
      <c r="BD48" s="28">
        <v>1300</v>
      </c>
      <c r="BE48" s="28">
        <v>1381.8450800000001</v>
      </c>
      <c r="BF48" s="28">
        <v>1462.45271</v>
      </c>
      <c r="BG48" s="28">
        <v>1252.5</v>
      </c>
      <c r="BH48" s="28">
        <v>1349.7</v>
      </c>
      <c r="BI48" s="28">
        <v>1361.9</v>
      </c>
      <c r="BJ48" s="20">
        <v>1252.5</v>
      </c>
      <c r="BK48" s="23">
        <v>1252.5</v>
      </c>
      <c r="BL48" s="28">
        <v>1552.5</v>
      </c>
      <c r="BM48" s="28">
        <v>1552.8</v>
      </c>
      <c r="BN48" s="28">
        <v>1707.16426</v>
      </c>
      <c r="BO48" s="28">
        <v>1719.8685800000001</v>
      </c>
      <c r="BP48" s="28">
        <v>1386.6</v>
      </c>
      <c r="BQ48" s="28">
        <v>1411</v>
      </c>
      <c r="BR48" s="28">
        <v>1421</v>
      </c>
      <c r="BS48" s="23">
        <v>1386.6</v>
      </c>
      <c r="BT48" s="28">
        <v>1386.6</v>
      </c>
      <c r="BU48" s="28">
        <v>1386.6</v>
      </c>
      <c r="BV48" s="28">
        <v>1138.0999999999999</v>
      </c>
      <c r="BW48" s="28">
        <v>1501.6</v>
      </c>
      <c r="BX48" s="24">
        <f t="shared" si="7"/>
        <v>115</v>
      </c>
      <c r="BY48" s="25">
        <f t="shared" si="8"/>
        <v>108.29366796480599</v>
      </c>
      <c r="BZ48" s="28">
        <v>1520</v>
      </c>
      <c r="CA48" s="28">
        <v>0</v>
      </c>
      <c r="CB48" s="28">
        <v>337.4</v>
      </c>
      <c r="CC48" s="28">
        <f t="shared" si="9"/>
        <v>0</v>
      </c>
      <c r="CD48" s="28">
        <f t="shared" si="10"/>
        <v>0</v>
      </c>
      <c r="CE48" s="28">
        <f t="shared" si="11"/>
        <v>0</v>
      </c>
      <c r="CF48" s="28">
        <v>1546.4</v>
      </c>
      <c r="CG48" s="28">
        <v>1546.4</v>
      </c>
      <c r="CH48" s="20">
        <f t="shared" si="12"/>
        <v>0</v>
      </c>
      <c r="CI48" s="20">
        <f t="shared" si="13"/>
        <v>100</v>
      </c>
      <c r="CJ48" s="28">
        <v>1601.3</v>
      </c>
      <c r="CK48" s="28">
        <v>1646.7</v>
      </c>
    </row>
    <row r="49" spans="1:89" ht="21.75" hidden="1" customHeight="1">
      <c r="A49" s="10" t="s">
        <v>167</v>
      </c>
      <c r="B49" s="41" t="s">
        <v>168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0"/>
      <c r="BK49" s="23"/>
      <c r="BL49" s="28"/>
      <c r="BM49" s="28"/>
      <c r="BN49" s="28"/>
      <c r="BO49" s="28"/>
      <c r="BP49" s="28"/>
      <c r="BQ49" s="28"/>
      <c r="BR49" s="28"/>
      <c r="BS49" s="23"/>
      <c r="BT49" s="28"/>
      <c r="BU49" s="28"/>
      <c r="BV49" s="28"/>
      <c r="BW49" s="28"/>
      <c r="BX49" s="24">
        <f t="shared" si="7"/>
        <v>0</v>
      </c>
      <c r="BY49" s="25" t="e">
        <f t="shared" si="8"/>
        <v>#DIV/0!</v>
      </c>
      <c r="BZ49" s="28"/>
      <c r="CA49" s="28">
        <f>1487.50002-CA48</f>
        <v>1487.5000199999999</v>
      </c>
      <c r="CB49" s="28">
        <v>1447.59905</v>
      </c>
      <c r="CC49" s="28" t="e">
        <f t="shared" si="9"/>
        <v>#DIV/0!</v>
      </c>
      <c r="CD49" s="28" t="e">
        <f t="shared" si="10"/>
        <v>#DIV/0!</v>
      </c>
      <c r="CE49" s="28" t="e">
        <f t="shared" si="11"/>
        <v>#DIV/0!</v>
      </c>
      <c r="CF49" s="28"/>
      <c r="CG49" s="28"/>
      <c r="CH49" s="20">
        <f t="shared" si="12"/>
        <v>0</v>
      </c>
      <c r="CI49" s="20" t="e">
        <f t="shared" si="13"/>
        <v>#DIV/0!</v>
      </c>
      <c r="CJ49" s="28"/>
      <c r="CK49" s="28"/>
    </row>
    <row r="50" spans="1:89" ht="33.75" customHeight="1">
      <c r="A50" s="18" t="s">
        <v>169</v>
      </c>
      <c r="B50" s="19" t="s">
        <v>170</v>
      </c>
      <c r="C50" s="20">
        <f>C54+C51</f>
        <v>138.38155</v>
      </c>
      <c r="D50" s="20">
        <f>D54+D51</f>
        <v>0</v>
      </c>
      <c r="E50" s="20">
        <f>E54+E51+E52</f>
        <v>14.8</v>
      </c>
      <c r="F50" s="20">
        <f>F54+F51+F52</f>
        <v>18.445499999999999</v>
      </c>
      <c r="G50" s="20">
        <f>G54+G51</f>
        <v>8</v>
      </c>
      <c r="H50" s="20">
        <f>H54+H51+H52</f>
        <v>43.8</v>
      </c>
      <c r="I50" s="20">
        <f>I54+I51+I52</f>
        <v>44.074260000000002</v>
      </c>
      <c r="J50" s="20">
        <f>J54+J51</f>
        <v>71</v>
      </c>
      <c r="K50" s="20">
        <f>K54+K51+K52</f>
        <v>247</v>
      </c>
      <c r="L50" s="20">
        <f>L54+L51+L52</f>
        <v>246.31367</v>
      </c>
      <c r="M50" s="20">
        <f>M54+M51+M52</f>
        <v>246.31367</v>
      </c>
      <c r="N50" s="20">
        <f>N54+N51</f>
        <v>71</v>
      </c>
      <c r="O50" s="20">
        <f>O54+O51+O52</f>
        <v>0</v>
      </c>
      <c r="P50" s="20"/>
      <c r="Q50" s="20">
        <f>Q54+Q51+Q52</f>
        <v>-43900.86881</v>
      </c>
      <c r="R50" s="20">
        <f>R54+R51</f>
        <v>0</v>
      </c>
      <c r="S50" s="20">
        <f>S54+S51+S52</f>
        <v>96</v>
      </c>
      <c r="T50" s="20">
        <f>T51</f>
        <v>96.037000000000006</v>
      </c>
      <c r="U50" s="20">
        <f>U54+U51+U52</f>
        <v>-8566.3933699999998</v>
      </c>
      <c r="V50" s="20">
        <f>V54+V51</f>
        <v>0</v>
      </c>
      <c r="W50" s="20">
        <f>W54+W51+W52</f>
        <v>0</v>
      </c>
      <c r="X50" s="20">
        <f>X51</f>
        <v>0</v>
      </c>
      <c r="Y50" s="20">
        <f>Y54+Y51+Y52</f>
        <v>-2.8206000000000002</v>
      </c>
      <c r="Z50" s="20">
        <f>Z54+Z51</f>
        <v>0</v>
      </c>
      <c r="AA50" s="20">
        <f>AA54+AA51+AA52</f>
        <v>0</v>
      </c>
      <c r="AB50" s="20">
        <f>AB51</f>
        <v>0</v>
      </c>
      <c r="AC50" s="20">
        <f>AC54+AC51+AC52+AC25+AC33+AC45</f>
        <v>1771.83907</v>
      </c>
      <c r="AD50" s="20">
        <f>AD54+AD51</f>
        <v>0</v>
      </c>
      <c r="AE50" s="20">
        <f>AE54+AE51+AE52</f>
        <v>0</v>
      </c>
      <c r="AF50" s="20">
        <f>AF51</f>
        <v>0</v>
      </c>
      <c r="AG50" s="20">
        <f>AG54+AG51+AG52+AG25+AG33+AG45</f>
        <v>-32195.580480000001</v>
      </c>
      <c r="AH50" s="20">
        <f>AH54+AH51</f>
        <v>0</v>
      </c>
      <c r="AI50" s="20">
        <f>AI54+AI51</f>
        <v>0</v>
      </c>
      <c r="AJ50" s="20">
        <f>AJ54+AJ51</f>
        <v>0</v>
      </c>
      <c r="AK50" s="20">
        <f>AK54+AK51+AK52</f>
        <v>0</v>
      </c>
      <c r="AL50" s="20">
        <f>AL51</f>
        <v>0</v>
      </c>
      <c r="AM50" s="20">
        <f>AM54+AM51+AM52+AM25+AM33+AM45+AM31</f>
        <v>-167.15698</v>
      </c>
      <c r="AN50" s="20">
        <f>AN54+AN51</f>
        <v>0</v>
      </c>
      <c r="AO50" s="20">
        <f>AO54+AO51</f>
        <v>3</v>
      </c>
      <c r="AP50" s="20">
        <f>AP54+AP51</f>
        <v>6</v>
      </c>
      <c r="AQ50" s="20">
        <v>0</v>
      </c>
      <c r="AR50" s="20">
        <v>0</v>
      </c>
      <c r="AS50" s="20"/>
      <c r="AT50" s="20">
        <f>AT51</f>
        <v>0</v>
      </c>
      <c r="AU50" s="20">
        <f>AU51</f>
        <v>0</v>
      </c>
      <c r="AV50" s="20">
        <f>AV51</f>
        <v>0</v>
      </c>
      <c r="AW50" s="20">
        <v>-9227.5849400000006</v>
      </c>
      <c r="AX50" s="20">
        <f>AX54+AX51</f>
        <v>0</v>
      </c>
      <c r="AY50" s="20">
        <f>AY54+AY51</f>
        <v>0</v>
      </c>
      <c r="AZ50" s="20">
        <f>AZ54+AZ51</f>
        <v>0</v>
      </c>
      <c r="BA50" s="20">
        <v>0</v>
      </c>
      <c r="BB50" s="20">
        <v>0</v>
      </c>
      <c r="BC50" s="20"/>
      <c r="BD50" s="20"/>
      <c r="BE50" s="20"/>
      <c r="BF50" s="20">
        <v>-23459.610619999999</v>
      </c>
      <c r="BG50" s="20">
        <f>BG54+BG51</f>
        <v>0</v>
      </c>
      <c r="BH50" s="20">
        <f>BH54+BH51</f>
        <v>0</v>
      </c>
      <c r="BI50" s="20">
        <f>BI54+BI51</f>
        <v>0</v>
      </c>
      <c r="BJ50" s="21">
        <f>BJ54+BJ51</f>
        <v>0</v>
      </c>
      <c r="BK50" s="22">
        <f>BK54+BK51</f>
        <v>0</v>
      </c>
      <c r="BL50" s="20"/>
      <c r="BM50" s="20">
        <f>BM54+BM51</f>
        <v>0</v>
      </c>
      <c r="BN50" s="20"/>
      <c r="BO50" s="20">
        <f>BO51</f>
        <v>-7960.4659600000005</v>
      </c>
      <c r="BP50" s="20"/>
      <c r="BQ50" s="20">
        <f>BQ54+BQ51</f>
        <v>0</v>
      </c>
      <c r="BR50" s="20">
        <f>BR54+BR51</f>
        <v>0</v>
      </c>
      <c r="BS50" s="22"/>
      <c r="BT50" s="20"/>
      <c r="BU50" s="20">
        <f>BU51</f>
        <v>115</v>
      </c>
      <c r="BV50" s="20">
        <f>BV51</f>
        <v>0</v>
      </c>
      <c r="BW50" s="20"/>
      <c r="BX50" s="24"/>
      <c r="BY50" s="25"/>
      <c r="BZ50" s="20">
        <f>BZ51</f>
        <v>0</v>
      </c>
      <c r="CA50" s="20"/>
      <c r="CB50" s="20">
        <f>CB51</f>
        <v>-19721.571469999999</v>
      </c>
      <c r="CC50" s="28"/>
      <c r="CD50" s="28"/>
      <c r="CE50" s="28"/>
      <c r="CF50" s="20">
        <f>CF54+CF51</f>
        <v>0</v>
      </c>
      <c r="CG50" s="20">
        <f>CG54+CG51</f>
        <v>0</v>
      </c>
      <c r="CH50" s="20">
        <f t="shared" si="12"/>
        <v>0</v>
      </c>
      <c r="CI50" s="20" t="e">
        <f t="shared" si="13"/>
        <v>#DIV/0!</v>
      </c>
      <c r="CJ50" s="20">
        <f>CJ54+CJ51</f>
        <v>0</v>
      </c>
      <c r="CK50" s="20">
        <f>CK54+CK51</f>
        <v>0</v>
      </c>
    </row>
    <row r="51" spans="1:89" ht="22.5" hidden="1" customHeight="1">
      <c r="A51" s="10" t="s">
        <v>171</v>
      </c>
      <c r="B51" s="40" t="s">
        <v>172</v>
      </c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/>
      <c r="Q51" s="28">
        <v>-43900.86881</v>
      </c>
      <c r="R51" s="28">
        <v>0</v>
      </c>
      <c r="S51" s="28">
        <v>96</v>
      </c>
      <c r="T51" s="28">
        <v>96.037000000000006</v>
      </c>
      <c r="U51" s="28">
        <f>-8394.94895+96.03699-267.48141</f>
        <v>-8566.3933699999998</v>
      </c>
      <c r="V51" s="28">
        <v>0</v>
      </c>
      <c r="W51" s="28">
        <v>0</v>
      </c>
      <c r="X51" s="28">
        <v>0</v>
      </c>
      <c r="Y51" s="28">
        <v>-2.8206000000000002</v>
      </c>
      <c r="Z51" s="28">
        <v>0</v>
      </c>
      <c r="AA51" s="28">
        <v>0</v>
      </c>
      <c r="AB51" s="28">
        <v>0</v>
      </c>
      <c r="AC51" s="28">
        <v>-9470.9848299999994</v>
      </c>
      <c r="AD51" s="28">
        <v>0</v>
      </c>
      <c r="AE51" s="28">
        <v>0</v>
      </c>
      <c r="AF51" s="28">
        <v>0</v>
      </c>
      <c r="AG51" s="28">
        <v>-32164.783100000001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/>
      <c r="AN51" s="28">
        <v>0</v>
      </c>
      <c r="AO51" s="28">
        <v>3</v>
      </c>
      <c r="AP51" s="28">
        <v>6</v>
      </c>
      <c r="AQ51" s="28"/>
      <c r="AR51" s="28"/>
      <c r="AS51" s="28"/>
      <c r="AT51" s="28">
        <v>0</v>
      </c>
      <c r="AU51" s="28">
        <v>0</v>
      </c>
      <c r="AV51" s="28">
        <v>0</v>
      </c>
      <c r="AW51" s="28"/>
      <c r="AX51" s="28">
        <v>0</v>
      </c>
      <c r="AY51" s="28">
        <v>0</v>
      </c>
      <c r="AZ51" s="28">
        <v>0</v>
      </c>
      <c r="BA51" s="28"/>
      <c r="BB51" s="28">
        <v>2</v>
      </c>
      <c r="BC51" s="28"/>
      <c r="BD51" s="28"/>
      <c r="BE51" s="28"/>
      <c r="BF51" s="28">
        <v>-3354.1867699999998</v>
      </c>
      <c r="BG51" s="28">
        <v>0</v>
      </c>
      <c r="BH51" s="28">
        <v>0</v>
      </c>
      <c r="BI51" s="28">
        <v>0</v>
      </c>
      <c r="BJ51" s="20"/>
      <c r="BK51" s="23"/>
      <c r="BL51" s="28"/>
      <c r="BM51" s="28">
        <v>0</v>
      </c>
      <c r="BN51" s="28"/>
      <c r="BO51" s="28">
        <v>-7960.4659600000005</v>
      </c>
      <c r="BP51" s="28">
        <v>0</v>
      </c>
      <c r="BQ51" s="28">
        <v>0</v>
      </c>
      <c r="BR51" s="28">
        <v>0</v>
      </c>
      <c r="BS51" s="23"/>
      <c r="BT51" s="28"/>
      <c r="BU51" s="28">
        <v>115</v>
      </c>
      <c r="BV51" s="28"/>
      <c r="BW51" s="28">
        <v>0</v>
      </c>
      <c r="BX51" s="24">
        <f t="shared" si="7"/>
        <v>0</v>
      </c>
      <c r="BY51" s="25" t="e">
        <f t="shared" si="8"/>
        <v>#DIV/0!</v>
      </c>
      <c r="BZ51" s="28">
        <v>0</v>
      </c>
      <c r="CA51" s="28"/>
      <c r="CB51" s="28">
        <f>-19724.13766+2.56619</f>
        <v>-19721.571469999999</v>
      </c>
      <c r="CC51" s="28" t="e">
        <f t="shared" si="9"/>
        <v>#DIV/0!</v>
      </c>
      <c r="CD51" s="28" t="e">
        <f t="shared" si="10"/>
        <v>#DIV/0!</v>
      </c>
      <c r="CE51" s="28" t="e">
        <f t="shared" si="11"/>
        <v>#DIV/0!</v>
      </c>
      <c r="CF51" s="28">
        <v>0</v>
      </c>
      <c r="CG51" s="28">
        <v>0</v>
      </c>
      <c r="CH51" s="20">
        <f t="shared" si="12"/>
        <v>0</v>
      </c>
      <c r="CI51" s="20" t="e">
        <f t="shared" si="13"/>
        <v>#DIV/0!</v>
      </c>
      <c r="CJ51" s="28">
        <v>0</v>
      </c>
      <c r="CK51" s="28">
        <v>0</v>
      </c>
    </row>
    <row r="52" spans="1:89" ht="22.5" hidden="1" customHeight="1">
      <c r="A52" s="10" t="s">
        <v>173</v>
      </c>
      <c r="B52" s="40" t="s">
        <v>174</v>
      </c>
      <c r="C52" s="28">
        <v>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/>
      <c r="Q52" s="28">
        <v>0</v>
      </c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0"/>
      <c r="BK52" s="23"/>
      <c r="BL52" s="28"/>
      <c r="BM52" s="28"/>
      <c r="BN52" s="28"/>
      <c r="BO52" s="28"/>
      <c r="BP52" s="28"/>
      <c r="BQ52" s="28"/>
      <c r="BR52" s="28"/>
      <c r="BS52" s="23"/>
      <c r="BT52" s="28"/>
      <c r="BU52" s="28"/>
      <c r="BV52" s="28"/>
      <c r="BW52" s="28"/>
      <c r="BX52" s="24">
        <f t="shared" si="7"/>
        <v>0</v>
      </c>
      <c r="BY52" s="25" t="e">
        <f t="shared" si="8"/>
        <v>#DIV/0!</v>
      </c>
      <c r="BZ52" s="28"/>
      <c r="CA52" s="28"/>
      <c r="CB52" s="28"/>
      <c r="CC52" s="28" t="e">
        <f t="shared" si="9"/>
        <v>#DIV/0!</v>
      </c>
      <c r="CD52" s="28" t="e">
        <f t="shared" si="10"/>
        <v>#DIV/0!</v>
      </c>
      <c r="CE52" s="28" t="e">
        <f t="shared" si="11"/>
        <v>#DIV/0!</v>
      </c>
      <c r="CF52" s="28"/>
      <c r="CG52" s="28"/>
      <c r="CH52" s="20">
        <f t="shared" si="12"/>
        <v>0</v>
      </c>
      <c r="CI52" s="20" t="e">
        <f t="shared" si="13"/>
        <v>#DIV/0!</v>
      </c>
      <c r="CJ52" s="28"/>
      <c r="CK52" s="28"/>
    </row>
    <row r="53" spans="1:89" ht="22.5" hidden="1" customHeight="1">
      <c r="A53" s="10" t="s">
        <v>175</v>
      </c>
      <c r="B53" s="40" t="s">
        <v>176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0"/>
      <c r="BK53" s="23"/>
      <c r="BL53" s="28"/>
      <c r="BM53" s="28"/>
      <c r="BN53" s="28"/>
      <c r="BO53" s="28"/>
      <c r="BP53" s="28"/>
      <c r="BQ53" s="28"/>
      <c r="BR53" s="28"/>
      <c r="BS53" s="23"/>
      <c r="BT53" s="28"/>
      <c r="BU53" s="28"/>
      <c r="BV53" s="28"/>
      <c r="BW53" s="28"/>
      <c r="BX53" s="24">
        <f t="shared" si="7"/>
        <v>0</v>
      </c>
      <c r="BY53" s="25" t="e">
        <f t="shared" si="8"/>
        <v>#DIV/0!</v>
      </c>
      <c r="BZ53" s="28"/>
      <c r="CA53" s="28"/>
      <c r="CB53" s="28"/>
      <c r="CC53" s="28" t="e">
        <f t="shared" si="9"/>
        <v>#DIV/0!</v>
      </c>
      <c r="CD53" s="28" t="e">
        <f t="shared" si="10"/>
        <v>#DIV/0!</v>
      </c>
      <c r="CE53" s="28" t="e">
        <f t="shared" si="11"/>
        <v>#DIV/0!</v>
      </c>
      <c r="CF53" s="28"/>
      <c r="CG53" s="28"/>
      <c r="CH53" s="20">
        <f t="shared" si="12"/>
        <v>0</v>
      </c>
      <c r="CI53" s="20" t="e">
        <f t="shared" si="13"/>
        <v>#DIV/0!</v>
      </c>
      <c r="CJ53" s="28"/>
      <c r="CK53" s="28"/>
    </row>
    <row r="54" spans="1:89" ht="22.5" hidden="1" customHeight="1">
      <c r="A54" s="10" t="s">
        <v>177</v>
      </c>
      <c r="B54" s="40" t="s">
        <v>178</v>
      </c>
      <c r="C54" s="28">
        <v>138.38155</v>
      </c>
      <c r="D54" s="28">
        <v>0</v>
      </c>
      <c r="E54" s="28">
        <v>14.8</v>
      </c>
      <c r="F54" s="28">
        <v>18.445499999999999</v>
      </c>
      <c r="G54" s="28">
        <v>8</v>
      </c>
      <c r="H54" s="28">
        <v>43.8</v>
      </c>
      <c r="I54" s="28">
        <v>44.074260000000002</v>
      </c>
      <c r="J54" s="28">
        <v>71</v>
      </c>
      <c r="K54" s="28">
        <v>247</v>
      </c>
      <c r="L54" s="28">
        <v>246.31367</v>
      </c>
      <c r="M54" s="28">
        <v>246.31367</v>
      </c>
      <c r="N54" s="28">
        <v>71</v>
      </c>
      <c r="O54" s="28">
        <v>0</v>
      </c>
      <c r="P54" s="28"/>
      <c r="Q54" s="28">
        <v>0</v>
      </c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0"/>
      <c r="BK54" s="23"/>
      <c r="BL54" s="28"/>
      <c r="BM54" s="28"/>
      <c r="BN54" s="28"/>
      <c r="BO54" s="28"/>
      <c r="BP54" s="28"/>
      <c r="BQ54" s="28"/>
      <c r="BR54" s="28"/>
      <c r="BS54" s="23"/>
      <c r="BT54" s="28"/>
      <c r="BU54" s="28"/>
      <c r="BV54" s="28"/>
      <c r="BW54" s="28"/>
      <c r="BX54" s="24">
        <f t="shared" si="7"/>
        <v>0</v>
      </c>
      <c r="BY54" s="25" t="e">
        <f t="shared" si="8"/>
        <v>#DIV/0!</v>
      </c>
      <c r="BZ54" s="28"/>
      <c r="CA54" s="28"/>
      <c r="CB54" s="28"/>
      <c r="CC54" s="28" t="e">
        <f t="shared" si="9"/>
        <v>#DIV/0!</v>
      </c>
      <c r="CD54" s="28" t="e">
        <f t="shared" si="10"/>
        <v>#DIV/0!</v>
      </c>
      <c r="CE54" s="28" t="e">
        <f t="shared" si="11"/>
        <v>#DIV/0!</v>
      </c>
      <c r="CF54" s="28"/>
      <c r="CG54" s="28"/>
      <c r="CH54" s="20">
        <f t="shared" si="12"/>
        <v>0</v>
      </c>
      <c r="CI54" s="20" t="e">
        <f t="shared" si="13"/>
        <v>#DIV/0!</v>
      </c>
      <c r="CJ54" s="28"/>
      <c r="CK54" s="28"/>
    </row>
    <row r="55" spans="1:89" ht="29.25" customHeight="1">
      <c r="A55" s="18" t="s">
        <v>179</v>
      </c>
      <c r="B55" s="42" t="s">
        <v>180</v>
      </c>
      <c r="C55" s="20">
        <f>C57+C58+C59</f>
        <v>1977.8404</v>
      </c>
      <c r="D55" s="20">
        <f>D57+D58</f>
        <v>0</v>
      </c>
      <c r="E55" s="20">
        <f>E57+E58</f>
        <v>1125</v>
      </c>
      <c r="F55" s="20">
        <f>F57+F58</f>
        <v>1124.9659999999999</v>
      </c>
      <c r="G55" s="20">
        <f>G57+G58</f>
        <v>0</v>
      </c>
      <c r="H55" s="20">
        <f>H57+H58+H61+H56</f>
        <v>37.700000000000003</v>
      </c>
      <c r="I55" s="20">
        <f>I57+I58+I61+I56</f>
        <v>37.766019999999997</v>
      </c>
      <c r="J55" s="20">
        <f>J57+J58</f>
        <v>0</v>
      </c>
      <c r="K55" s="20">
        <f>K57+K58+K61+K56</f>
        <v>0</v>
      </c>
      <c r="L55" s="20">
        <f>L57+L58+L61+L56</f>
        <v>0</v>
      </c>
      <c r="M55" s="20">
        <f>M57+M58+M61+M56</f>
        <v>0</v>
      </c>
      <c r="N55" s="20">
        <f>N57+N58</f>
        <v>0</v>
      </c>
      <c r="O55" s="20">
        <f>O57+O58+O61+O56</f>
        <v>0</v>
      </c>
      <c r="P55" s="20">
        <f>P57+P58+P61+P56+P59</f>
        <v>62.073</v>
      </c>
      <c r="Q55" s="20">
        <f>Q57+Q58+Q61+Q56+Q59</f>
        <v>62.073</v>
      </c>
      <c r="R55" s="20">
        <f>R57+R58</f>
        <v>0</v>
      </c>
      <c r="S55" s="20">
        <f>S57+S58+S61+S56+S59</f>
        <v>49.3</v>
      </c>
      <c r="T55" s="20">
        <f>T57+T58+T61+T56+T59</f>
        <v>49.271999999999998</v>
      </c>
      <c r="U55" s="20">
        <f>U57+U58+U61+U56+U59</f>
        <v>119.61978000000001</v>
      </c>
      <c r="V55" s="20">
        <f>V57+V58</f>
        <v>0</v>
      </c>
      <c r="W55" s="20">
        <f>W57+W58+W61+W56+W59</f>
        <v>83</v>
      </c>
      <c r="X55" s="20">
        <f>X57+X58+X61+X56+X59</f>
        <v>88.743709999999993</v>
      </c>
      <c r="Y55" s="20">
        <f>Y57+Y58+Y61+Y56+Y59</f>
        <v>88.543710000000004</v>
      </c>
      <c r="Z55" s="20">
        <f>Z57+Z58</f>
        <v>0</v>
      </c>
      <c r="AA55" s="20">
        <f>AA57+AA58+AA61+AA56+AA59</f>
        <v>16.100000000000001</v>
      </c>
      <c r="AB55" s="20">
        <f>AB57+AB58+AB61+AB56+AB59</f>
        <v>21.044139999999999</v>
      </c>
      <c r="AC55" s="20">
        <f>AC57+AC58+AC61+AC56+AC59</f>
        <v>21.044139999999999</v>
      </c>
      <c r="AD55" s="20">
        <f>AD57+AD58</f>
        <v>0</v>
      </c>
      <c r="AE55" s="20">
        <f>AE57+AE58+AE61+AE56+AE59</f>
        <v>65</v>
      </c>
      <c r="AF55" s="20">
        <f>AF57+AF58+AF61+AF56+AF59</f>
        <v>111.35687999999999</v>
      </c>
      <c r="AG55" s="20">
        <f>AG57+AG58+AG61+AG56+AG59</f>
        <v>111.35688</v>
      </c>
      <c r="AH55" s="20">
        <f>AH57+AH58</f>
        <v>0</v>
      </c>
      <c r="AI55" s="20">
        <f>AI57+AI58</f>
        <v>0</v>
      </c>
      <c r="AJ55" s="20">
        <f>AJ57+AJ58</f>
        <v>0</v>
      </c>
      <c r="AK55" s="20">
        <f>AK57+AK58+AK61+AK56+AK59</f>
        <v>102.8</v>
      </c>
      <c r="AL55" s="20">
        <f>AL59</f>
        <v>102.82123</v>
      </c>
      <c r="AM55" s="20">
        <f>AM57+AM58+AM61+AM56+AM59</f>
        <v>45.649410000000003</v>
      </c>
      <c r="AN55" s="20">
        <f>AN57+AN58</f>
        <v>0</v>
      </c>
      <c r="AO55" s="20">
        <f>AO57+AO58</f>
        <v>0</v>
      </c>
      <c r="AP55" s="20">
        <f>AP57+AP58</f>
        <v>0</v>
      </c>
      <c r="AQ55" s="20">
        <v>48.5</v>
      </c>
      <c r="AR55" s="20">
        <v>87.5</v>
      </c>
      <c r="AS55" s="20">
        <v>87.5</v>
      </c>
      <c r="AT55" s="20">
        <f>AT59</f>
        <v>447.5</v>
      </c>
      <c r="AU55" s="20">
        <f>AU59+AU63</f>
        <v>455.5</v>
      </c>
      <c r="AV55" s="20">
        <f>AV59+AV63</f>
        <v>470.18727000000001</v>
      </c>
      <c r="AW55" s="20">
        <f>AW59+AW63</f>
        <v>457.01130999999998</v>
      </c>
      <c r="AX55" s="20">
        <f>AX57+AX58</f>
        <v>0</v>
      </c>
      <c r="AY55" s="20">
        <f>AY57+AY58</f>
        <v>0</v>
      </c>
      <c r="AZ55" s="20">
        <f>AZ57+AZ58</f>
        <v>0</v>
      </c>
      <c r="BA55" s="20">
        <v>0</v>
      </c>
      <c r="BB55" s="20">
        <v>0</v>
      </c>
      <c r="BC55" s="20"/>
      <c r="BD55" s="20">
        <f>BD59</f>
        <v>12.9</v>
      </c>
      <c r="BE55" s="20">
        <f>BE59+BE63+BE58+BE60</f>
        <v>12.93243</v>
      </c>
      <c r="BF55" s="20">
        <f>BF59+BF63+BF58+BF60</f>
        <v>2.9324300000000001</v>
      </c>
      <c r="BG55" s="20">
        <f>BG57+BG58</f>
        <v>0</v>
      </c>
      <c r="BH55" s="20">
        <f>BH57+BH58</f>
        <v>0</v>
      </c>
      <c r="BI55" s="20">
        <f>BI57+BI58</f>
        <v>0</v>
      </c>
      <c r="BJ55" s="20">
        <f>BJ57+BJ58</f>
        <v>0</v>
      </c>
      <c r="BK55" s="20">
        <f>BK57+BK58</f>
        <v>0</v>
      </c>
      <c r="BL55" s="20">
        <f>BL59</f>
        <v>14.2</v>
      </c>
      <c r="BM55" s="20">
        <f>BM57+BM58+BM59</f>
        <v>14.2</v>
      </c>
      <c r="BN55" s="20">
        <f>BN59+BN63+BN58+BN60</f>
        <v>14.168850000000001</v>
      </c>
      <c r="BO55" s="20">
        <f>BO59+BO60+BO61+BO62</f>
        <v>24.168849999999999</v>
      </c>
      <c r="BP55" s="20"/>
      <c r="BQ55" s="20">
        <f t="shared" ref="BQ55:BV55" si="49">BQ57+BQ58</f>
        <v>0</v>
      </c>
      <c r="BR55" s="20">
        <f t="shared" si="49"/>
        <v>0</v>
      </c>
      <c r="BS55" s="20">
        <f t="shared" si="49"/>
        <v>0</v>
      </c>
      <c r="BT55" s="20">
        <f t="shared" si="49"/>
        <v>0</v>
      </c>
      <c r="BU55" s="20">
        <f t="shared" si="49"/>
        <v>0</v>
      </c>
      <c r="BV55" s="20">
        <f t="shared" si="49"/>
        <v>0</v>
      </c>
      <c r="BW55" s="20"/>
      <c r="BX55" s="24"/>
      <c r="BY55" s="25"/>
      <c r="BZ55" s="20">
        <f>BZ57+BZ58</f>
        <v>0</v>
      </c>
      <c r="CA55" s="20"/>
      <c r="CB55" s="20">
        <f>CB59+CB60+CB61+CB62</f>
        <v>-10</v>
      </c>
      <c r="CC55" s="28"/>
      <c r="CD55" s="28"/>
      <c r="CE55" s="28"/>
      <c r="CF55" s="20">
        <f>CF57+CF58</f>
        <v>0</v>
      </c>
      <c r="CG55" s="20">
        <f>CG57+CG58</f>
        <v>0</v>
      </c>
      <c r="CH55" s="20">
        <f t="shared" si="12"/>
        <v>0</v>
      </c>
      <c r="CI55" s="20" t="e">
        <f t="shared" si="13"/>
        <v>#DIV/0!</v>
      </c>
      <c r="CJ55" s="20">
        <f>CJ57+CJ58</f>
        <v>0</v>
      </c>
      <c r="CK55" s="20">
        <f>CK57+CK58</f>
        <v>0</v>
      </c>
    </row>
    <row r="56" spans="1:89" s="26" customFormat="1" ht="22.5" hidden="1" customHeight="1">
      <c r="A56" s="10" t="s">
        <v>181</v>
      </c>
      <c r="B56" s="40" t="s">
        <v>182</v>
      </c>
      <c r="C56" s="28"/>
      <c r="D56" s="20"/>
      <c r="E56" s="20"/>
      <c r="F56" s="28"/>
      <c r="G56" s="28"/>
      <c r="H56" s="28">
        <v>10.5</v>
      </c>
      <c r="I56" s="28"/>
      <c r="J56" s="28"/>
      <c r="K56" s="28">
        <v>0</v>
      </c>
      <c r="L56" s="28"/>
      <c r="M56" s="28"/>
      <c r="N56" s="28"/>
      <c r="O56" s="28"/>
      <c r="P56" s="28"/>
      <c r="Q56" s="28">
        <v>0</v>
      </c>
      <c r="R56" s="28"/>
      <c r="S56" s="28"/>
      <c r="T56" s="28"/>
      <c r="U56" s="28">
        <v>0</v>
      </c>
      <c r="V56" s="28"/>
      <c r="W56" s="28"/>
      <c r="X56" s="28"/>
      <c r="Y56" s="28">
        <v>0</v>
      </c>
      <c r="Z56" s="28"/>
      <c r="AA56" s="28"/>
      <c r="AB56" s="28"/>
      <c r="AC56" s="28">
        <v>0</v>
      </c>
      <c r="AD56" s="28"/>
      <c r="AE56" s="28"/>
      <c r="AF56" s="28"/>
      <c r="AG56" s="28">
        <v>0</v>
      </c>
      <c r="AH56" s="28"/>
      <c r="AI56" s="28"/>
      <c r="AJ56" s="28"/>
      <c r="AK56" s="28"/>
      <c r="AL56" s="28"/>
      <c r="AM56" s="28">
        <v>0</v>
      </c>
      <c r="AN56" s="28"/>
      <c r="AO56" s="28"/>
      <c r="AP56" s="28"/>
      <c r="AQ56" s="28"/>
      <c r="AR56" s="28"/>
      <c r="AS56" s="28"/>
      <c r="AT56" s="28"/>
      <c r="AU56" s="28"/>
      <c r="AV56" s="28"/>
      <c r="AW56" s="28">
        <v>0</v>
      </c>
      <c r="AX56" s="28"/>
      <c r="AY56" s="28"/>
      <c r="AZ56" s="28"/>
      <c r="BA56" s="28"/>
      <c r="BB56" s="28"/>
      <c r="BC56" s="28"/>
      <c r="BD56" s="28"/>
      <c r="BE56" s="28"/>
      <c r="BF56" s="28">
        <v>0</v>
      </c>
      <c r="BG56" s="28"/>
      <c r="BH56" s="28"/>
      <c r="BI56" s="28"/>
      <c r="BJ56" s="20"/>
      <c r="BK56" s="23"/>
      <c r="BL56" s="28"/>
      <c r="BM56" s="28"/>
      <c r="BN56" s="28"/>
      <c r="BO56" s="28">
        <v>0</v>
      </c>
      <c r="BP56" s="28"/>
      <c r="BQ56" s="28"/>
      <c r="BR56" s="28"/>
      <c r="BS56" s="23"/>
      <c r="BT56" s="28"/>
      <c r="BU56" s="28"/>
      <c r="BV56" s="28"/>
      <c r="BW56" s="28"/>
      <c r="BX56" s="24">
        <f t="shared" si="7"/>
        <v>0</v>
      </c>
      <c r="BY56" s="25" t="e">
        <f t="shared" si="8"/>
        <v>#DIV/0!</v>
      </c>
      <c r="BZ56" s="28"/>
      <c r="CA56" s="28"/>
      <c r="CB56" s="28">
        <v>0</v>
      </c>
      <c r="CC56" s="28" t="e">
        <f t="shared" si="9"/>
        <v>#DIV/0!</v>
      </c>
      <c r="CD56" s="28" t="e">
        <f t="shared" si="10"/>
        <v>#DIV/0!</v>
      </c>
      <c r="CE56" s="28" t="e">
        <f t="shared" si="11"/>
        <v>#DIV/0!</v>
      </c>
      <c r="CF56" s="28"/>
      <c r="CG56" s="28"/>
      <c r="CH56" s="20">
        <f t="shared" si="12"/>
        <v>0</v>
      </c>
      <c r="CI56" s="20" t="e">
        <f t="shared" si="13"/>
        <v>#DIV/0!</v>
      </c>
      <c r="CJ56" s="28"/>
      <c r="CK56" s="28"/>
    </row>
    <row r="57" spans="1:89" ht="22.5" hidden="1" customHeight="1">
      <c r="A57" s="10" t="s">
        <v>183</v>
      </c>
      <c r="B57" s="40" t="s">
        <v>184</v>
      </c>
      <c r="C57" s="28">
        <v>1927.8404</v>
      </c>
      <c r="D57" s="28">
        <v>0</v>
      </c>
      <c r="E57" s="28">
        <v>1125</v>
      </c>
      <c r="F57" s="28">
        <v>1124.9659999999999</v>
      </c>
      <c r="G57" s="28">
        <v>0</v>
      </c>
      <c r="H57" s="28">
        <v>0</v>
      </c>
      <c r="I57" s="28">
        <v>10.525</v>
      </c>
      <c r="J57" s="28">
        <v>0</v>
      </c>
      <c r="K57" s="28">
        <v>0</v>
      </c>
      <c r="L57" s="28"/>
      <c r="M57" s="28"/>
      <c r="N57" s="28"/>
      <c r="O57" s="28"/>
      <c r="P57" s="28"/>
      <c r="Q57" s="28">
        <v>0</v>
      </c>
      <c r="R57" s="28"/>
      <c r="S57" s="28"/>
      <c r="T57" s="28"/>
      <c r="U57" s="28">
        <v>0</v>
      </c>
      <c r="V57" s="28"/>
      <c r="W57" s="28"/>
      <c r="X57" s="28"/>
      <c r="Y57" s="28">
        <v>0</v>
      </c>
      <c r="Z57" s="28"/>
      <c r="AA57" s="28"/>
      <c r="AB57" s="28"/>
      <c r="AC57" s="28">
        <v>0</v>
      </c>
      <c r="AD57" s="28"/>
      <c r="AE57" s="28"/>
      <c r="AF57" s="28"/>
      <c r="AG57" s="28">
        <v>0</v>
      </c>
      <c r="AH57" s="28"/>
      <c r="AI57" s="28"/>
      <c r="AJ57" s="28"/>
      <c r="AK57" s="28"/>
      <c r="AL57" s="28"/>
      <c r="AM57" s="28">
        <v>0</v>
      </c>
      <c r="AN57" s="28"/>
      <c r="AO57" s="28"/>
      <c r="AP57" s="28"/>
      <c r="AQ57" s="28"/>
      <c r="AR57" s="28"/>
      <c r="AS57" s="28"/>
      <c r="AT57" s="28"/>
      <c r="AU57" s="28"/>
      <c r="AV57" s="28"/>
      <c r="AW57" s="28">
        <v>0</v>
      </c>
      <c r="AX57" s="28"/>
      <c r="AY57" s="28"/>
      <c r="AZ57" s="28"/>
      <c r="BA57" s="28"/>
      <c r="BB57" s="28"/>
      <c r="BC57" s="28"/>
      <c r="BD57" s="28"/>
      <c r="BE57" s="28"/>
      <c r="BF57" s="28">
        <v>0</v>
      </c>
      <c r="BG57" s="28"/>
      <c r="BH57" s="28"/>
      <c r="BI57" s="28"/>
      <c r="BJ57" s="20"/>
      <c r="BK57" s="23"/>
      <c r="BL57" s="28"/>
      <c r="BM57" s="28"/>
      <c r="BN57" s="28"/>
      <c r="BO57" s="28">
        <v>0</v>
      </c>
      <c r="BP57" s="28"/>
      <c r="BQ57" s="28"/>
      <c r="BR57" s="28"/>
      <c r="BS57" s="23"/>
      <c r="BT57" s="28"/>
      <c r="BU57" s="28"/>
      <c r="BV57" s="28"/>
      <c r="BW57" s="28"/>
      <c r="BX57" s="24">
        <f t="shared" si="7"/>
        <v>0</v>
      </c>
      <c r="BY57" s="25" t="e">
        <f t="shared" si="8"/>
        <v>#DIV/0!</v>
      </c>
      <c r="BZ57" s="28"/>
      <c r="CA57" s="28"/>
      <c r="CB57" s="28">
        <v>0</v>
      </c>
      <c r="CC57" s="28" t="e">
        <f t="shared" si="9"/>
        <v>#DIV/0!</v>
      </c>
      <c r="CD57" s="28" t="e">
        <f t="shared" si="10"/>
        <v>#DIV/0!</v>
      </c>
      <c r="CE57" s="28" t="e">
        <f t="shared" si="11"/>
        <v>#DIV/0!</v>
      </c>
      <c r="CF57" s="28"/>
      <c r="CG57" s="28"/>
      <c r="CH57" s="20">
        <f t="shared" si="12"/>
        <v>0</v>
      </c>
      <c r="CI57" s="20" t="e">
        <f t="shared" si="13"/>
        <v>#DIV/0!</v>
      </c>
      <c r="CJ57" s="28"/>
      <c r="CK57" s="28"/>
    </row>
    <row r="58" spans="1:89" ht="22.5" hidden="1" customHeight="1">
      <c r="A58" s="10" t="s">
        <v>185</v>
      </c>
      <c r="B58" s="40" t="s">
        <v>186</v>
      </c>
      <c r="C58" s="28">
        <v>20</v>
      </c>
      <c r="D58" s="28">
        <v>0</v>
      </c>
      <c r="E58" s="28">
        <v>0</v>
      </c>
      <c r="F58" s="28">
        <v>0</v>
      </c>
      <c r="G58" s="28">
        <v>0</v>
      </c>
      <c r="H58" s="28">
        <v>15.5</v>
      </c>
      <c r="I58" s="28">
        <v>15.54102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9.0730000000000004</v>
      </c>
      <c r="Q58" s="28">
        <v>9.0730000000000004</v>
      </c>
      <c r="R58" s="28">
        <v>0</v>
      </c>
      <c r="S58" s="28">
        <v>19.3</v>
      </c>
      <c r="T58" s="28">
        <v>19.271999999999998</v>
      </c>
      <c r="U58" s="28">
        <v>89.619780000000006</v>
      </c>
      <c r="V58" s="28">
        <v>0</v>
      </c>
      <c r="W58" s="28">
        <v>83</v>
      </c>
      <c r="X58" s="28">
        <v>88.743709999999993</v>
      </c>
      <c r="Y58" s="28">
        <v>88.543710000000004</v>
      </c>
      <c r="Z58" s="28">
        <v>0</v>
      </c>
      <c r="AA58" s="28">
        <v>16.100000000000001</v>
      </c>
      <c r="AB58" s="28">
        <v>21.044139999999999</v>
      </c>
      <c r="AC58" s="28">
        <v>21.044139999999999</v>
      </c>
      <c r="AD58" s="28">
        <v>0</v>
      </c>
      <c r="AE58" s="28">
        <v>5</v>
      </c>
      <c r="AF58" s="28">
        <v>51.356879999999997</v>
      </c>
      <c r="AG58" s="28">
        <v>5.2</v>
      </c>
      <c r="AH58" s="28">
        <v>0</v>
      </c>
      <c r="AI58" s="28">
        <v>0</v>
      </c>
      <c r="AJ58" s="28">
        <v>0</v>
      </c>
      <c r="AK58" s="28"/>
      <c r="AL58" s="28"/>
      <c r="AM58" s="28"/>
      <c r="AN58" s="28">
        <v>0</v>
      </c>
      <c r="AO58" s="28">
        <v>0</v>
      </c>
      <c r="AP58" s="28">
        <v>0</v>
      </c>
      <c r="AQ58" s="28"/>
      <c r="AR58" s="28"/>
      <c r="AS58" s="28"/>
      <c r="AT58" s="28"/>
      <c r="AU58" s="28"/>
      <c r="AV58" s="28"/>
      <c r="AW58" s="28"/>
      <c r="AX58" s="28">
        <v>0</v>
      </c>
      <c r="AY58" s="28">
        <v>0</v>
      </c>
      <c r="AZ58" s="28">
        <v>0</v>
      </c>
      <c r="BA58" s="28"/>
      <c r="BB58" s="28">
        <v>0</v>
      </c>
      <c r="BC58" s="28"/>
      <c r="BD58" s="28"/>
      <c r="BE58" s="28"/>
      <c r="BF58" s="28">
        <v>-10</v>
      </c>
      <c r="BG58" s="28">
        <v>0</v>
      </c>
      <c r="BH58" s="28">
        <v>0</v>
      </c>
      <c r="BI58" s="28">
        <v>0</v>
      </c>
      <c r="BJ58" s="20"/>
      <c r="BK58" s="23"/>
      <c r="BL58" s="28"/>
      <c r="BM58" s="28">
        <v>0</v>
      </c>
      <c r="BN58" s="28"/>
      <c r="BO58" s="28">
        <v>-10</v>
      </c>
      <c r="BP58" s="28">
        <v>0</v>
      </c>
      <c r="BQ58" s="28">
        <v>0</v>
      </c>
      <c r="BR58" s="28">
        <v>0</v>
      </c>
      <c r="BS58" s="23"/>
      <c r="BT58" s="28"/>
      <c r="BU58" s="28"/>
      <c r="BV58" s="28"/>
      <c r="BW58" s="28"/>
      <c r="BX58" s="24">
        <f t="shared" si="7"/>
        <v>0</v>
      </c>
      <c r="BY58" s="25" t="e">
        <f t="shared" si="8"/>
        <v>#DIV/0!</v>
      </c>
      <c r="BZ58" s="28"/>
      <c r="CA58" s="28"/>
      <c r="CB58" s="28">
        <v>-10</v>
      </c>
      <c r="CC58" s="28" t="e">
        <f t="shared" si="9"/>
        <v>#DIV/0!</v>
      </c>
      <c r="CD58" s="28" t="e">
        <f t="shared" si="10"/>
        <v>#DIV/0!</v>
      </c>
      <c r="CE58" s="28" t="e">
        <f t="shared" si="11"/>
        <v>#DIV/0!</v>
      </c>
      <c r="CF58" s="28">
        <v>0</v>
      </c>
      <c r="CG58" s="28">
        <v>0</v>
      </c>
      <c r="CH58" s="20">
        <f t="shared" si="12"/>
        <v>0</v>
      </c>
      <c r="CI58" s="20" t="e">
        <f t="shared" si="13"/>
        <v>#DIV/0!</v>
      </c>
      <c r="CJ58" s="28">
        <v>0</v>
      </c>
      <c r="CK58" s="28">
        <v>0</v>
      </c>
    </row>
    <row r="59" spans="1:89" ht="33.75" hidden="1" customHeight="1">
      <c r="A59" s="10" t="s">
        <v>187</v>
      </c>
      <c r="B59" s="40" t="s">
        <v>188</v>
      </c>
      <c r="C59" s="28">
        <v>30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53</v>
      </c>
      <c r="Q59" s="28">
        <v>53</v>
      </c>
      <c r="R59" s="28">
        <v>0</v>
      </c>
      <c r="S59" s="28">
        <v>30</v>
      </c>
      <c r="T59" s="28">
        <v>30</v>
      </c>
      <c r="U59" s="28">
        <v>30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60</v>
      </c>
      <c r="AF59" s="28">
        <v>60</v>
      </c>
      <c r="AG59" s="28">
        <v>106.15688</v>
      </c>
      <c r="AH59" s="28">
        <v>0</v>
      </c>
      <c r="AI59" s="28">
        <v>0</v>
      </c>
      <c r="AJ59" s="28">
        <v>0</v>
      </c>
      <c r="AK59" s="28">
        <v>102.8</v>
      </c>
      <c r="AL59" s="28">
        <v>102.82123</v>
      </c>
      <c r="AM59" s="28">
        <v>45.649410000000003</v>
      </c>
      <c r="AN59" s="28">
        <v>0</v>
      </c>
      <c r="AO59" s="28">
        <v>0</v>
      </c>
      <c r="AP59" s="28">
        <v>0</v>
      </c>
      <c r="AQ59" s="28"/>
      <c r="AR59" s="28"/>
      <c r="AS59" s="28"/>
      <c r="AT59" s="28">
        <v>447.5</v>
      </c>
      <c r="AU59" s="28">
        <v>95.5</v>
      </c>
      <c r="AV59" s="28">
        <v>110.18727</v>
      </c>
      <c r="AW59" s="28">
        <v>97.011309999999995</v>
      </c>
      <c r="AX59" s="28">
        <v>0</v>
      </c>
      <c r="AY59" s="28">
        <v>0</v>
      </c>
      <c r="AZ59" s="28">
        <v>0</v>
      </c>
      <c r="BA59" s="28"/>
      <c r="BB59" s="28">
        <v>0</v>
      </c>
      <c r="BC59" s="28"/>
      <c r="BD59" s="28">
        <v>12.9</v>
      </c>
      <c r="BE59" s="28">
        <v>12.93243</v>
      </c>
      <c r="BF59" s="28">
        <v>28.94529</v>
      </c>
      <c r="BG59" s="28">
        <v>0</v>
      </c>
      <c r="BH59" s="28">
        <v>0</v>
      </c>
      <c r="BI59" s="28">
        <v>0</v>
      </c>
      <c r="BJ59" s="20">
        <v>14.2</v>
      </c>
      <c r="BK59" s="23">
        <v>14.2</v>
      </c>
      <c r="BL59" s="28">
        <v>14.2</v>
      </c>
      <c r="BM59" s="28">
        <v>14.2</v>
      </c>
      <c r="BN59" s="28">
        <v>14.168850000000001</v>
      </c>
      <c r="BO59" s="28">
        <v>14.168850000000001</v>
      </c>
      <c r="BP59" s="28">
        <v>0</v>
      </c>
      <c r="BQ59" s="28">
        <v>0</v>
      </c>
      <c r="BR59" s="28">
        <v>0</v>
      </c>
      <c r="BS59" s="23"/>
      <c r="BT59" s="28"/>
      <c r="BU59" s="28"/>
      <c r="BV59" s="28"/>
      <c r="BW59" s="28"/>
      <c r="BX59" s="24">
        <f t="shared" si="7"/>
        <v>0</v>
      </c>
      <c r="BY59" s="25" t="e">
        <f t="shared" si="8"/>
        <v>#DIV/0!</v>
      </c>
      <c r="BZ59" s="28"/>
      <c r="CA59" s="28"/>
      <c r="CB59" s="28"/>
      <c r="CC59" s="28" t="e">
        <f t="shared" si="9"/>
        <v>#DIV/0!</v>
      </c>
      <c r="CD59" s="28" t="e">
        <f t="shared" si="10"/>
        <v>#DIV/0!</v>
      </c>
      <c r="CE59" s="28">
        <f t="shared" si="11"/>
        <v>0</v>
      </c>
      <c r="CF59" s="28">
        <v>0</v>
      </c>
      <c r="CG59" s="28">
        <v>0</v>
      </c>
      <c r="CH59" s="20">
        <f t="shared" si="12"/>
        <v>0</v>
      </c>
      <c r="CI59" s="20" t="e">
        <f t="shared" si="13"/>
        <v>#DIV/0!</v>
      </c>
      <c r="CJ59" s="28">
        <v>0</v>
      </c>
      <c r="CK59" s="28">
        <v>0</v>
      </c>
    </row>
    <row r="60" spans="1:89" ht="33.75" hidden="1" customHeight="1">
      <c r="A60" s="10" t="s">
        <v>189</v>
      </c>
      <c r="B60" s="40" t="s">
        <v>190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>
        <v>-16.01286</v>
      </c>
      <c r="BG60" s="28"/>
      <c r="BH60" s="28"/>
      <c r="BI60" s="28"/>
      <c r="BJ60" s="20"/>
      <c r="BK60" s="23"/>
      <c r="BL60" s="28"/>
      <c r="BM60" s="28"/>
      <c r="BN60" s="28"/>
      <c r="BO60" s="28"/>
      <c r="BP60" s="28"/>
      <c r="BQ60" s="28"/>
      <c r="BR60" s="28"/>
      <c r="BS60" s="23"/>
      <c r="BT60" s="28"/>
      <c r="BU60" s="28"/>
      <c r="BV60" s="28"/>
      <c r="BW60" s="28"/>
      <c r="BX60" s="24">
        <f t="shared" si="7"/>
        <v>0</v>
      </c>
      <c r="BY60" s="25" t="e">
        <f t="shared" si="8"/>
        <v>#DIV/0!</v>
      </c>
      <c r="BZ60" s="28"/>
      <c r="CA60" s="28"/>
      <c r="CB60" s="28"/>
      <c r="CC60" s="28" t="e">
        <f t="shared" si="9"/>
        <v>#DIV/0!</v>
      </c>
      <c r="CD60" s="28" t="e">
        <f t="shared" si="10"/>
        <v>#DIV/0!</v>
      </c>
      <c r="CE60" s="28" t="e">
        <f t="shared" si="11"/>
        <v>#DIV/0!</v>
      </c>
      <c r="CF60" s="28"/>
      <c r="CG60" s="28"/>
      <c r="CH60" s="20">
        <f t="shared" si="12"/>
        <v>0</v>
      </c>
      <c r="CI60" s="20" t="e">
        <f t="shared" si="13"/>
        <v>#DIV/0!</v>
      </c>
      <c r="CJ60" s="28"/>
      <c r="CK60" s="28"/>
    </row>
    <row r="61" spans="1:89" ht="22.5" hidden="1" customHeight="1">
      <c r="A61" s="10" t="s">
        <v>191</v>
      </c>
      <c r="B61" s="40" t="s">
        <v>192</v>
      </c>
      <c r="C61" s="28"/>
      <c r="D61" s="28"/>
      <c r="E61" s="28"/>
      <c r="F61" s="28"/>
      <c r="G61" s="28"/>
      <c r="H61" s="28">
        <v>11.7</v>
      </c>
      <c r="I61" s="28">
        <v>11.7</v>
      </c>
      <c r="J61" s="28"/>
      <c r="K61" s="28">
        <v>0</v>
      </c>
      <c r="L61" s="28"/>
      <c r="M61" s="28">
        <v>0</v>
      </c>
      <c r="N61" s="28"/>
      <c r="O61" s="28"/>
      <c r="P61" s="28"/>
      <c r="Q61" s="28">
        <v>0</v>
      </c>
      <c r="R61" s="28"/>
      <c r="S61" s="28"/>
      <c r="T61" s="28"/>
      <c r="U61" s="28">
        <v>0</v>
      </c>
      <c r="V61" s="28"/>
      <c r="W61" s="28"/>
      <c r="X61" s="28"/>
      <c r="Y61" s="28">
        <v>0</v>
      </c>
      <c r="Z61" s="28"/>
      <c r="AA61" s="28"/>
      <c r="AB61" s="28"/>
      <c r="AC61" s="28">
        <v>0</v>
      </c>
      <c r="AD61" s="28"/>
      <c r="AE61" s="28"/>
      <c r="AF61" s="28"/>
      <c r="AG61" s="28">
        <v>0</v>
      </c>
      <c r="AH61" s="28"/>
      <c r="AI61" s="28"/>
      <c r="AJ61" s="28"/>
      <c r="AK61" s="28"/>
      <c r="AL61" s="28"/>
      <c r="AM61" s="28">
        <v>0</v>
      </c>
      <c r="AN61" s="28"/>
      <c r="AO61" s="28"/>
      <c r="AP61" s="28"/>
      <c r="AQ61" s="28"/>
      <c r="AR61" s="28"/>
      <c r="AS61" s="28"/>
      <c r="AT61" s="28"/>
      <c r="AU61" s="28"/>
      <c r="AV61" s="28"/>
      <c r="AW61" s="28">
        <v>0</v>
      </c>
      <c r="AX61" s="28"/>
      <c r="AY61" s="28"/>
      <c r="AZ61" s="28"/>
      <c r="BA61" s="28"/>
      <c r="BB61" s="28"/>
      <c r="BC61" s="28"/>
      <c r="BD61" s="28"/>
      <c r="BE61" s="28"/>
      <c r="BF61" s="28">
        <v>0</v>
      </c>
      <c r="BG61" s="28"/>
      <c r="BH61" s="28"/>
      <c r="BI61" s="28"/>
      <c r="BJ61" s="20"/>
      <c r="BK61" s="23"/>
      <c r="BL61" s="28"/>
      <c r="BM61" s="28"/>
      <c r="BN61" s="28"/>
      <c r="BO61" s="28">
        <v>0</v>
      </c>
      <c r="BP61" s="28"/>
      <c r="BQ61" s="28"/>
      <c r="BR61" s="28"/>
      <c r="BS61" s="23"/>
      <c r="BT61" s="28"/>
      <c r="BU61" s="28"/>
      <c r="BV61" s="28"/>
      <c r="BW61" s="28"/>
      <c r="BX61" s="24">
        <f t="shared" si="7"/>
        <v>0</v>
      </c>
      <c r="BY61" s="25" t="e">
        <f t="shared" si="8"/>
        <v>#DIV/0!</v>
      </c>
      <c r="BZ61" s="28"/>
      <c r="CA61" s="28"/>
      <c r="CB61" s="28">
        <v>0</v>
      </c>
      <c r="CC61" s="28" t="e">
        <f t="shared" si="9"/>
        <v>#DIV/0!</v>
      </c>
      <c r="CD61" s="28" t="e">
        <f t="shared" si="10"/>
        <v>#DIV/0!</v>
      </c>
      <c r="CE61" s="28" t="e">
        <f t="shared" si="11"/>
        <v>#DIV/0!</v>
      </c>
      <c r="CF61" s="28"/>
      <c r="CG61" s="28"/>
      <c r="CH61" s="20">
        <f t="shared" si="12"/>
        <v>0</v>
      </c>
      <c r="CI61" s="20" t="e">
        <f t="shared" si="13"/>
        <v>#DIV/0!</v>
      </c>
      <c r="CJ61" s="28"/>
      <c r="CK61" s="28"/>
    </row>
    <row r="62" spans="1:89" ht="22.5" hidden="1" customHeight="1">
      <c r="A62" s="10" t="s">
        <v>193</v>
      </c>
      <c r="B62" s="40" t="s">
        <v>194</v>
      </c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0"/>
      <c r="BK62" s="23"/>
      <c r="BL62" s="28"/>
      <c r="BM62" s="28"/>
      <c r="BN62" s="28"/>
      <c r="BO62" s="28">
        <v>10</v>
      </c>
      <c r="BP62" s="28"/>
      <c r="BQ62" s="28"/>
      <c r="BR62" s="28"/>
      <c r="BS62" s="23"/>
      <c r="BT62" s="28"/>
      <c r="BU62" s="28"/>
      <c r="BV62" s="28"/>
      <c r="BW62" s="28"/>
      <c r="BX62" s="24">
        <f t="shared" si="7"/>
        <v>0</v>
      </c>
      <c r="BY62" s="25" t="e">
        <f t="shared" si="8"/>
        <v>#DIV/0!</v>
      </c>
      <c r="BZ62" s="28"/>
      <c r="CA62" s="28"/>
      <c r="CB62" s="28">
        <v>-10</v>
      </c>
      <c r="CC62" s="28" t="e">
        <f t="shared" si="9"/>
        <v>#DIV/0!</v>
      </c>
      <c r="CD62" s="28" t="e">
        <f t="shared" si="10"/>
        <v>#DIV/0!</v>
      </c>
      <c r="CE62" s="28" t="e">
        <f t="shared" si="11"/>
        <v>#DIV/0!</v>
      </c>
      <c r="CF62" s="28"/>
      <c r="CG62" s="28"/>
      <c r="CH62" s="20">
        <f t="shared" si="12"/>
        <v>0</v>
      </c>
      <c r="CI62" s="20" t="e">
        <f t="shared" si="13"/>
        <v>#DIV/0!</v>
      </c>
      <c r="CJ62" s="28"/>
      <c r="CK62" s="28"/>
    </row>
    <row r="63" spans="1:89" ht="25.5" hidden="1" customHeight="1">
      <c r="A63" s="10" t="s">
        <v>195</v>
      </c>
      <c r="B63" s="40" t="s">
        <v>196</v>
      </c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>
        <v>360</v>
      </c>
      <c r="AV63" s="28">
        <v>360</v>
      </c>
      <c r="AW63" s="28">
        <v>360</v>
      </c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0"/>
      <c r="BK63" s="23"/>
      <c r="BL63" s="28"/>
      <c r="BM63" s="28"/>
      <c r="BN63" s="28"/>
      <c r="BO63" s="28"/>
      <c r="BP63" s="28"/>
      <c r="BQ63" s="28"/>
      <c r="BR63" s="28"/>
      <c r="BS63" s="23"/>
      <c r="BT63" s="28"/>
      <c r="BU63" s="28"/>
      <c r="BV63" s="28"/>
      <c r="BW63" s="28"/>
      <c r="BX63" s="24">
        <f t="shared" si="7"/>
        <v>0</v>
      </c>
      <c r="BY63" s="25" t="e">
        <f t="shared" si="8"/>
        <v>#DIV/0!</v>
      </c>
      <c r="BZ63" s="28"/>
      <c r="CA63" s="28"/>
      <c r="CB63" s="28"/>
      <c r="CC63" s="28" t="e">
        <f t="shared" si="9"/>
        <v>#DIV/0!</v>
      </c>
      <c r="CD63" s="28" t="e">
        <f t="shared" si="10"/>
        <v>#DIV/0!</v>
      </c>
      <c r="CE63" s="28" t="e">
        <f t="shared" si="11"/>
        <v>#DIV/0!</v>
      </c>
      <c r="CF63" s="28"/>
      <c r="CG63" s="28"/>
      <c r="CH63" s="20">
        <f t="shared" si="12"/>
        <v>0</v>
      </c>
      <c r="CI63" s="20" t="e">
        <f t="shared" si="13"/>
        <v>#DIV/0!</v>
      </c>
      <c r="CJ63" s="28"/>
      <c r="CK63" s="28"/>
    </row>
    <row r="64" spans="1:89" ht="22.5" hidden="1" customHeight="1">
      <c r="A64" s="10"/>
      <c r="B64" s="40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0"/>
      <c r="BK64" s="23"/>
      <c r="BL64" s="28"/>
      <c r="BM64" s="28"/>
      <c r="BN64" s="28"/>
      <c r="BO64" s="28"/>
      <c r="BP64" s="28"/>
      <c r="BQ64" s="28"/>
      <c r="BR64" s="28"/>
      <c r="BS64" s="23"/>
      <c r="BT64" s="28"/>
      <c r="BU64" s="28"/>
      <c r="BV64" s="28"/>
      <c r="BW64" s="28"/>
      <c r="BX64" s="24">
        <f t="shared" si="7"/>
        <v>0</v>
      </c>
      <c r="BY64" s="25" t="e">
        <f t="shared" si="8"/>
        <v>#DIV/0!</v>
      </c>
      <c r="BZ64" s="28"/>
      <c r="CA64" s="28"/>
      <c r="CB64" s="28"/>
      <c r="CC64" s="28" t="e">
        <f t="shared" si="9"/>
        <v>#DIV/0!</v>
      </c>
      <c r="CD64" s="28" t="e">
        <f t="shared" si="10"/>
        <v>#DIV/0!</v>
      </c>
      <c r="CE64" s="28" t="e">
        <f t="shared" si="11"/>
        <v>#DIV/0!</v>
      </c>
      <c r="CF64" s="28"/>
      <c r="CG64" s="28"/>
      <c r="CH64" s="20">
        <f t="shared" si="12"/>
        <v>0</v>
      </c>
      <c r="CI64" s="20" t="e">
        <f t="shared" si="13"/>
        <v>#DIV/0!</v>
      </c>
      <c r="CJ64" s="28"/>
      <c r="CK64" s="28"/>
    </row>
    <row r="65" spans="1:90" s="39" customFormat="1" ht="24.75" customHeight="1">
      <c r="A65" s="18" t="s">
        <v>197</v>
      </c>
      <c r="B65" s="42" t="s">
        <v>198</v>
      </c>
      <c r="C65" s="20">
        <v>0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f>0.2/1000</f>
        <v>2.0000000000000001E-4</v>
      </c>
      <c r="M65" s="20">
        <f>0.2/1000</f>
        <v>2.0000000000000001E-4</v>
      </c>
      <c r="N65" s="20">
        <v>0</v>
      </c>
      <c r="O65" s="20">
        <v>0</v>
      </c>
      <c r="P65" s="20">
        <f>0.2/1000</f>
        <v>2.0000000000000001E-4</v>
      </c>
      <c r="Q65" s="20">
        <f>0.2/1000</f>
        <v>2.0000000000000001E-4</v>
      </c>
      <c r="R65" s="20">
        <v>0</v>
      </c>
      <c r="S65" s="20">
        <v>0</v>
      </c>
      <c r="T65" s="20">
        <f>0.2/1000</f>
        <v>2.0000000000000001E-4</v>
      </c>
      <c r="U65" s="20">
        <f>0.2/1000</f>
        <v>2.0000000000000001E-4</v>
      </c>
      <c r="V65" s="20">
        <v>0</v>
      </c>
      <c r="W65" s="20">
        <v>0</v>
      </c>
      <c r="X65" s="20">
        <f>0.2/1000</f>
        <v>2.0000000000000001E-4</v>
      </c>
      <c r="Y65" s="20">
        <f>0.2/1000</f>
        <v>2.0000000000000001E-4</v>
      </c>
      <c r="Z65" s="20">
        <v>0</v>
      </c>
      <c r="AA65" s="20">
        <v>0</v>
      </c>
      <c r="AB65" s="20">
        <v>37.012889999999999</v>
      </c>
      <c r="AC65" s="20">
        <v>37.012889999999999</v>
      </c>
      <c r="AD65" s="20">
        <v>0</v>
      </c>
      <c r="AE65" s="20">
        <v>0</v>
      </c>
      <c r="AF65" s="20">
        <v>-37.012889999999999</v>
      </c>
      <c r="AG65" s="20">
        <v>-37.012889999999999</v>
      </c>
      <c r="AH65" s="20">
        <v>0</v>
      </c>
      <c r="AI65" s="20">
        <v>0</v>
      </c>
      <c r="AJ65" s="20">
        <v>0</v>
      </c>
      <c r="AK65" s="20">
        <v>0</v>
      </c>
      <c r="AL65" s="20">
        <v>4.1870000000000003</v>
      </c>
      <c r="AM65" s="20">
        <f>AM68</f>
        <v>79481.023929999996</v>
      </c>
      <c r="AN65" s="20">
        <v>0</v>
      </c>
      <c r="AO65" s="20">
        <v>0</v>
      </c>
      <c r="AP65" s="20">
        <v>0</v>
      </c>
      <c r="AQ65" s="20">
        <v>0</v>
      </c>
      <c r="AR65" s="20">
        <v>0</v>
      </c>
      <c r="AS65" s="20">
        <v>0</v>
      </c>
      <c r="AT65" s="20">
        <v>0</v>
      </c>
      <c r="AU65" s="20">
        <v>0</v>
      </c>
      <c r="AV65" s="20">
        <v>-4.1870000000000003</v>
      </c>
      <c r="AW65" s="20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/>
      <c r="BD65" s="20"/>
      <c r="BE65" s="20">
        <v>8.4727399999999999</v>
      </c>
      <c r="BF65" s="20">
        <f>BF68</f>
        <v>935</v>
      </c>
      <c r="BG65" s="20">
        <v>0</v>
      </c>
      <c r="BH65" s="20">
        <v>0</v>
      </c>
      <c r="BI65" s="20">
        <v>0</v>
      </c>
      <c r="BJ65" s="20"/>
      <c r="BK65" s="23">
        <v>505.7</v>
      </c>
      <c r="BL65" s="20">
        <f>BL67</f>
        <v>355.7</v>
      </c>
      <c r="BM65" s="20">
        <f>-8.5+355.7</f>
        <v>347.2</v>
      </c>
      <c r="BN65" s="20">
        <f>BN66+BN67</f>
        <v>347.22726</v>
      </c>
      <c r="BO65" s="20">
        <f>BO66+BO67+BO68</f>
        <v>355.7</v>
      </c>
      <c r="BP65" s="20">
        <v>0</v>
      </c>
      <c r="BQ65" s="20">
        <v>0</v>
      </c>
      <c r="BR65" s="20">
        <v>0</v>
      </c>
      <c r="BS65" s="23">
        <v>0</v>
      </c>
      <c r="BT65" s="20">
        <f>BT67</f>
        <v>288.60000000000002</v>
      </c>
      <c r="BU65" s="20">
        <f>BU67</f>
        <v>288.60000000000002</v>
      </c>
      <c r="BV65" s="20">
        <f>BV67</f>
        <v>288.60000000000002</v>
      </c>
      <c r="BW65" s="20">
        <f>BW67</f>
        <v>288.60000000000002</v>
      </c>
      <c r="BX65" s="24">
        <f t="shared" si="7"/>
        <v>288.60000000000002</v>
      </c>
      <c r="BY65" s="25">
        <v>100</v>
      </c>
      <c r="BZ65" s="20">
        <f>BZ67</f>
        <v>288.60000000000002</v>
      </c>
      <c r="CA65" s="20">
        <f>CA66+CA67</f>
        <v>288.60000000000002</v>
      </c>
      <c r="CB65" s="20">
        <f>CB66+CB67+CB68</f>
        <v>9382.5523000000012</v>
      </c>
      <c r="CC65" s="28">
        <v>100</v>
      </c>
      <c r="CD65" s="28">
        <f t="shared" si="10"/>
        <v>100</v>
      </c>
      <c r="CE65" s="28">
        <f t="shared" si="11"/>
        <v>83.115594092468442</v>
      </c>
      <c r="CF65" s="20">
        <v>0</v>
      </c>
      <c r="CG65" s="20">
        <v>0</v>
      </c>
      <c r="CH65" s="20">
        <f t="shared" si="12"/>
        <v>0</v>
      </c>
      <c r="CI65" s="20" t="e">
        <f t="shared" si="13"/>
        <v>#DIV/0!</v>
      </c>
      <c r="CJ65" s="20">
        <v>0</v>
      </c>
      <c r="CK65" s="20">
        <v>0</v>
      </c>
    </row>
    <row r="66" spans="1:90" s="43" customFormat="1" ht="24.75" hidden="1" customHeight="1">
      <c r="A66" s="10" t="s">
        <v>199</v>
      </c>
      <c r="B66" s="40" t="s">
        <v>200</v>
      </c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9"/>
      <c r="BL66" s="28"/>
      <c r="BM66" s="28"/>
      <c r="BN66" s="28">
        <v>-8.4727399999999999</v>
      </c>
      <c r="BO66" s="28"/>
      <c r="BP66" s="28"/>
      <c r="BQ66" s="28"/>
      <c r="BR66" s="28"/>
      <c r="BS66" s="29"/>
      <c r="BT66" s="28"/>
      <c r="BU66" s="28"/>
      <c r="BV66" s="28"/>
      <c r="BW66" s="28"/>
      <c r="BX66" s="24">
        <f t="shared" si="7"/>
        <v>0</v>
      </c>
      <c r="BY66" s="25" t="e">
        <f t="shared" si="8"/>
        <v>#DIV/0!</v>
      </c>
      <c r="BZ66" s="28"/>
      <c r="CA66" s="28"/>
      <c r="CB66" s="28"/>
      <c r="CC66" s="28" t="e">
        <f t="shared" si="9"/>
        <v>#DIV/0!</v>
      </c>
      <c r="CD66" s="28" t="e">
        <f t="shared" si="10"/>
        <v>#DIV/0!</v>
      </c>
      <c r="CE66" s="28">
        <f t="shared" si="11"/>
        <v>0</v>
      </c>
      <c r="CF66" s="28"/>
      <c r="CG66" s="28"/>
      <c r="CH66" s="20">
        <f t="shared" si="12"/>
        <v>0</v>
      </c>
      <c r="CI66" s="20" t="e">
        <f t="shared" si="13"/>
        <v>#DIV/0!</v>
      </c>
      <c r="CJ66" s="28"/>
      <c r="CK66" s="28"/>
    </row>
    <row r="67" spans="1:90" s="43" customFormat="1" ht="24.75" hidden="1" customHeight="1">
      <c r="A67" s="10" t="s">
        <v>201</v>
      </c>
      <c r="B67" s="40" t="s">
        <v>202</v>
      </c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9"/>
      <c r="BL67" s="28">
        <v>355.7</v>
      </c>
      <c r="BM67" s="28"/>
      <c r="BN67" s="28">
        <v>355.7</v>
      </c>
      <c r="BO67" s="28">
        <v>355.7</v>
      </c>
      <c r="BP67" s="28"/>
      <c r="BQ67" s="28"/>
      <c r="BR67" s="28"/>
      <c r="BS67" s="29"/>
      <c r="BT67" s="28">
        <f>98.6+190</f>
        <v>288.60000000000002</v>
      </c>
      <c r="BU67" s="28">
        <f>98.6+190</f>
        <v>288.60000000000002</v>
      </c>
      <c r="BV67" s="28">
        <f>98.6+190</f>
        <v>288.60000000000002</v>
      </c>
      <c r="BW67" s="28">
        <f>98.6+190</f>
        <v>288.60000000000002</v>
      </c>
      <c r="BX67" s="24">
        <f t="shared" si="7"/>
        <v>288.60000000000002</v>
      </c>
      <c r="BY67" s="25" t="e">
        <f t="shared" si="8"/>
        <v>#DIV/0!</v>
      </c>
      <c r="BZ67" s="28">
        <f>98.6+190</f>
        <v>288.60000000000002</v>
      </c>
      <c r="CA67" s="28">
        <v>288.60000000000002</v>
      </c>
      <c r="CB67" s="28">
        <v>288.60000000000002</v>
      </c>
      <c r="CC67" s="28" t="e">
        <f t="shared" si="9"/>
        <v>#DIV/0!</v>
      </c>
      <c r="CD67" s="28">
        <f t="shared" si="10"/>
        <v>100</v>
      </c>
      <c r="CE67" s="28">
        <f t="shared" si="11"/>
        <v>81.135788585886985</v>
      </c>
      <c r="CF67" s="28"/>
      <c r="CG67" s="28"/>
      <c r="CH67" s="20">
        <f t="shared" si="12"/>
        <v>0</v>
      </c>
      <c r="CI67" s="20" t="e">
        <f t="shared" si="13"/>
        <v>#DIV/0!</v>
      </c>
      <c r="CJ67" s="28"/>
      <c r="CK67" s="28"/>
    </row>
    <row r="68" spans="1:90" s="39" customFormat="1" ht="22.5" hidden="1" customHeight="1">
      <c r="A68" s="18" t="s">
        <v>203</v>
      </c>
      <c r="B68" s="42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>
        <v>79481.023929999996</v>
      </c>
      <c r="AN68" s="20"/>
      <c r="AO68" s="20"/>
      <c r="AP68" s="20"/>
      <c r="AQ68" s="20"/>
      <c r="AR68" s="20"/>
      <c r="AS68" s="20"/>
      <c r="AT68" s="20"/>
      <c r="AU68" s="20"/>
      <c r="AV68" s="20"/>
      <c r="AW68" s="20">
        <v>79481.023929999996</v>
      </c>
      <c r="AX68" s="20"/>
      <c r="AY68" s="20"/>
      <c r="AZ68" s="20"/>
      <c r="BA68" s="20"/>
      <c r="BB68" s="20"/>
      <c r="BC68" s="20"/>
      <c r="BD68" s="20"/>
      <c r="BE68" s="20"/>
      <c r="BF68" s="20">
        <v>935</v>
      </c>
      <c r="BG68" s="20"/>
      <c r="BH68" s="20"/>
      <c r="BI68" s="20"/>
      <c r="BJ68" s="20"/>
      <c r="BK68" s="23"/>
      <c r="BL68" s="20"/>
      <c r="BM68" s="20"/>
      <c r="BN68" s="20"/>
      <c r="BO68" s="20"/>
      <c r="BP68" s="20"/>
      <c r="BQ68" s="20"/>
      <c r="BR68" s="20"/>
      <c r="BS68" s="23"/>
      <c r="BT68" s="20"/>
      <c r="BU68" s="20"/>
      <c r="BV68" s="20"/>
      <c r="BW68" s="20"/>
      <c r="BX68" s="24">
        <f t="shared" si="7"/>
        <v>0</v>
      </c>
      <c r="BY68" s="25" t="e">
        <f t="shared" si="8"/>
        <v>#DIV/0!</v>
      </c>
      <c r="BZ68" s="20"/>
      <c r="CA68" s="20"/>
      <c r="CB68" s="20">
        <v>9093.9523000000008</v>
      </c>
      <c r="CC68" s="28" t="e">
        <f t="shared" si="9"/>
        <v>#DIV/0!</v>
      </c>
      <c r="CD68" s="28" t="e">
        <f t="shared" si="10"/>
        <v>#DIV/0!</v>
      </c>
      <c r="CE68" s="28" t="e">
        <f t="shared" si="11"/>
        <v>#DIV/0!</v>
      </c>
      <c r="CF68" s="20"/>
      <c r="CG68" s="20"/>
      <c r="CH68" s="20">
        <f t="shared" si="12"/>
        <v>0</v>
      </c>
      <c r="CI68" s="20" t="e">
        <f t="shared" si="13"/>
        <v>#DIV/0!</v>
      </c>
      <c r="CJ68" s="20"/>
      <c r="CK68" s="20"/>
    </row>
    <row r="69" spans="1:90" ht="22.5" customHeight="1">
      <c r="A69" s="18" t="s">
        <v>204</v>
      </c>
      <c r="B69" s="19" t="s">
        <v>205</v>
      </c>
      <c r="C69" s="20">
        <f t="shared" ref="C69:BN69" si="50">C71+C126+C121</f>
        <v>31417.117000000002</v>
      </c>
      <c r="D69" s="20">
        <f t="shared" si="50"/>
        <v>25706.600000000002</v>
      </c>
      <c r="E69" s="20">
        <f t="shared" si="50"/>
        <v>50784.3</v>
      </c>
      <c r="F69" s="20">
        <f t="shared" si="50"/>
        <v>47549.112650000003</v>
      </c>
      <c r="G69" s="20">
        <f t="shared" si="50"/>
        <v>27846.400000000001</v>
      </c>
      <c r="H69" s="20">
        <f t="shared" si="50"/>
        <v>37875.700000000004</v>
      </c>
      <c r="I69" s="20">
        <f t="shared" si="50"/>
        <v>37873.657959999997</v>
      </c>
      <c r="J69" s="20">
        <f t="shared" si="50"/>
        <v>28847.9</v>
      </c>
      <c r="K69" s="20">
        <f t="shared" si="50"/>
        <v>36280.5</v>
      </c>
      <c r="L69" s="20">
        <f t="shared" si="50"/>
        <v>36267.998719999996</v>
      </c>
      <c r="M69" s="20">
        <f t="shared" si="50"/>
        <v>142383.83863000001</v>
      </c>
      <c r="N69" s="20">
        <f t="shared" si="50"/>
        <v>29131.300000000003</v>
      </c>
      <c r="O69" s="20">
        <f t="shared" si="50"/>
        <v>42550.9</v>
      </c>
      <c r="P69" s="20">
        <f t="shared" si="50"/>
        <v>42159.500910000002</v>
      </c>
      <c r="Q69" s="20">
        <f t="shared" si="50"/>
        <v>194224.14927000002</v>
      </c>
      <c r="R69" s="20">
        <f t="shared" si="50"/>
        <v>41274.400000000001</v>
      </c>
      <c r="S69" s="20">
        <f t="shared" si="50"/>
        <v>43804.2</v>
      </c>
      <c r="T69" s="20">
        <f t="shared" si="50"/>
        <v>43804.127990000001</v>
      </c>
      <c r="U69" s="20">
        <f t="shared" si="50"/>
        <v>118346.59461</v>
      </c>
      <c r="V69" s="20">
        <f t="shared" si="50"/>
        <v>29644.3</v>
      </c>
      <c r="W69" s="20">
        <f t="shared" si="50"/>
        <v>56685.3</v>
      </c>
      <c r="X69" s="20">
        <f t="shared" si="50"/>
        <v>56600.923360000001</v>
      </c>
      <c r="Y69" s="20">
        <f t="shared" si="50"/>
        <v>196067.09779999999</v>
      </c>
      <c r="Z69" s="20">
        <f t="shared" si="50"/>
        <v>28989</v>
      </c>
      <c r="AA69" s="20">
        <f t="shared" si="50"/>
        <v>37510.14</v>
      </c>
      <c r="AB69" s="20">
        <f t="shared" si="50"/>
        <v>37510.149740000001</v>
      </c>
      <c r="AC69" s="20">
        <f t="shared" si="50"/>
        <v>210541.60527</v>
      </c>
      <c r="AD69" s="20">
        <f t="shared" si="50"/>
        <v>29590.899999999998</v>
      </c>
      <c r="AE69" s="20">
        <f t="shared" si="50"/>
        <v>39042.899999999994</v>
      </c>
      <c r="AF69" s="20">
        <f t="shared" si="50"/>
        <v>39042.954549999995</v>
      </c>
      <c r="AG69" s="20">
        <f t="shared" si="50"/>
        <v>98672.852529999989</v>
      </c>
      <c r="AH69" s="20">
        <f t="shared" si="50"/>
        <v>32823.700000000004</v>
      </c>
      <c r="AI69" s="20">
        <f t="shared" si="50"/>
        <v>32024</v>
      </c>
      <c r="AJ69" s="20">
        <f t="shared" si="50"/>
        <v>32001.1</v>
      </c>
      <c r="AK69" s="20">
        <f t="shared" si="50"/>
        <v>78336.299999999988</v>
      </c>
      <c r="AL69" s="20">
        <f t="shared" si="50"/>
        <v>78336.312600000005</v>
      </c>
      <c r="AM69" s="20">
        <f t="shared" si="50"/>
        <v>165717.15621000002</v>
      </c>
      <c r="AN69" s="20">
        <f t="shared" si="50"/>
        <v>29090.100000000002</v>
      </c>
      <c r="AO69" s="20">
        <f t="shared" si="50"/>
        <v>29090.100000000002</v>
      </c>
      <c r="AP69" s="20">
        <f t="shared" si="50"/>
        <v>29090.100000000002</v>
      </c>
      <c r="AQ69" s="20">
        <f t="shared" si="50"/>
        <v>43318</v>
      </c>
      <c r="AR69" s="20">
        <f t="shared" si="50"/>
        <v>47445.8</v>
      </c>
      <c r="AS69" s="20">
        <f t="shared" si="50"/>
        <v>41408.5</v>
      </c>
      <c r="AT69" s="20">
        <f t="shared" si="50"/>
        <v>44033.200000000004</v>
      </c>
      <c r="AU69" s="20">
        <f t="shared" si="50"/>
        <v>50260.200000000004</v>
      </c>
      <c r="AV69" s="20">
        <f t="shared" si="50"/>
        <v>50071.069930000005</v>
      </c>
      <c r="AW69" s="20">
        <f t="shared" si="50"/>
        <v>88112.027549999999</v>
      </c>
      <c r="AX69" s="20">
        <f t="shared" si="50"/>
        <v>41406.800000000003</v>
      </c>
      <c r="AY69" s="20">
        <f t="shared" si="50"/>
        <v>25606.200000000004</v>
      </c>
      <c r="AZ69" s="20">
        <f t="shared" si="50"/>
        <v>25562.5</v>
      </c>
      <c r="BA69" s="20">
        <f t="shared" si="50"/>
        <v>45206.100000000006</v>
      </c>
      <c r="BB69" s="20">
        <f t="shared" si="50"/>
        <v>50765.900000000009</v>
      </c>
      <c r="BC69" s="20">
        <f t="shared" si="50"/>
        <v>37952.100000000006</v>
      </c>
      <c r="BD69" s="20">
        <f t="shared" si="50"/>
        <v>62120.4</v>
      </c>
      <c r="BE69" s="20">
        <f t="shared" si="50"/>
        <v>62115.89837000001</v>
      </c>
      <c r="BF69" s="20">
        <f t="shared" si="50"/>
        <v>126366.49091000001</v>
      </c>
      <c r="BG69" s="20">
        <f t="shared" si="50"/>
        <v>38065.300000000003</v>
      </c>
      <c r="BH69" s="20">
        <f t="shared" si="50"/>
        <v>30087.200000000001</v>
      </c>
      <c r="BI69" s="20">
        <f t="shared" si="50"/>
        <v>29835.5</v>
      </c>
      <c r="BJ69" s="20">
        <f t="shared" si="50"/>
        <v>39849.300000000003</v>
      </c>
      <c r="BK69" s="20">
        <f t="shared" si="50"/>
        <v>59502.2</v>
      </c>
      <c r="BL69" s="20">
        <f t="shared" si="50"/>
        <v>71905.8</v>
      </c>
      <c r="BM69" s="20">
        <f t="shared" si="50"/>
        <v>68788.100000000006</v>
      </c>
      <c r="BN69" s="20">
        <f t="shared" si="50"/>
        <v>71905.772979999994</v>
      </c>
      <c r="BO69" s="20">
        <f t="shared" ref="BO69:BV69" si="51">BO71+BO126+BO121</f>
        <v>86504.761659999989</v>
      </c>
      <c r="BP69" s="20">
        <f t="shared" si="51"/>
        <v>40054.199999999997</v>
      </c>
      <c r="BQ69" s="20">
        <f t="shared" si="51"/>
        <v>29155.5</v>
      </c>
      <c r="BR69" s="20">
        <f t="shared" si="51"/>
        <v>28671.9</v>
      </c>
      <c r="BS69" s="20">
        <f t="shared" si="51"/>
        <v>40965.399999999994</v>
      </c>
      <c r="BT69" s="20">
        <f t="shared" si="51"/>
        <v>70254</v>
      </c>
      <c r="BU69" s="20">
        <f t="shared" si="51"/>
        <v>70788.2</v>
      </c>
      <c r="BV69" s="20">
        <f t="shared" si="51"/>
        <v>39431.899999999994</v>
      </c>
      <c r="BW69" s="20">
        <f>BW71+BW126+BW121</f>
        <v>74055.7</v>
      </c>
      <c r="BX69" s="24">
        <f t="shared" si="7"/>
        <v>34001.5</v>
      </c>
      <c r="BY69" s="25">
        <f t="shared" si="8"/>
        <v>184.88872577657276</v>
      </c>
      <c r="BZ69" s="20">
        <f>BZ71+BZ126+BZ121</f>
        <v>70788.2</v>
      </c>
      <c r="CA69" s="20">
        <f>CA71+CA126+CA121</f>
        <v>69199.961199999991</v>
      </c>
      <c r="CB69" s="20">
        <f>CB71+CB126+CB121</f>
        <v>101978.71573</v>
      </c>
      <c r="CC69" s="28">
        <f t="shared" si="9"/>
        <v>172.76580533377273</v>
      </c>
      <c r="CD69" s="28">
        <f t="shared" si="10"/>
        <v>93.443126187450787</v>
      </c>
      <c r="CE69" s="28">
        <f t="shared" si="11"/>
        <v>96.237003417301963</v>
      </c>
      <c r="CF69" s="20">
        <f>CF71+CF126+CF121</f>
        <v>36628.700000000004</v>
      </c>
      <c r="CG69" s="20">
        <f>CG71+CG126+CG121</f>
        <v>44828.700000000004</v>
      </c>
      <c r="CH69" s="20">
        <f t="shared" si="12"/>
        <v>8200</v>
      </c>
      <c r="CI69" s="20">
        <f t="shared" si="13"/>
        <v>122.38681689494851</v>
      </c>
      <c r="CJ69" s="20">
        <f>CJ71+CJ126+CJ121</f>
        <v>34621.9</v>
      </c>
      <c r="CK69" s="20">
        <f>CK71+CK126+CK121</f>
        <v>34299.199999999997</v>
      </c>
    </row>
    <row r="70" spans="1:90" ht="22.5" customHeight="1">
      <c r="A70" s="18"/>
      <c r="B70" s="19" t="s">
        <v>94</v>
      </c>
      <c r="C70" s="20">
        <f t="shared" ref="C70:BN70" si="52">C69/C127*100</f>
        <v>66.060602194579047</v>
      </c>
      <c r="D70" s="20">
        <f t="shared" si="52"/>
        <v>65.780100103378743</v>
      </c>
      <c r="E70" s="20">
        <f t="shared" si="52"/>
        <v>77.613502811302666</v>
      </c>
      <c r="F70" s="20">
        <f t="shared" si="52"/>
        <v>77.551368705999593</v>
      </c>
      <c r="G70" s="20">
        <f t="shared" si="52"/>
        <v>64.598474954125678</v>
      </c>
      <c r="H70" s="20">
        <f t="shared" si="52"/>
        <v>71.280407706986949</v>
      </c>
      <c r="I70" s="20">
        <f t="shared" si="52"/>
        <v>72.385512978301577</v>
      </c>
      <c r="J70" s="20">
        <f t="shared" si="52"/>
        <v>66.432466539549196</v>
      </c>
      <c r="K70" s="20">
        <f t="shared" si="52"/>
        <v>71.338262186129739</v>
      </c>
      <c r="L70" s="20">
        <f t="shared" si="52"/>
        <v>72.165057943186099</v>
      </c>
      <c r="M70" s="20">
        <f t="shared" si="52"/>
        <v>91.059115308198272</v>
      </c>
      <c r="N70" s="20">
        <f t="shared" si="52"/>
        <v>65.77354409430508</v>
      </c>
      <c r="O70" s="20">
        <f t="shared" si="52"/>
        <v>74.899183079303441</v>
      </c>
      <c r="P70" s="20">
        <f t="shared" si="52"/>
        <v>76.195981787984721</v>
      </c>
      <c r="Q70" s="20">
        <f t="shared" si="52"/>
        <v>118.79579633903872</v>
      </c>
      <c r="R70" s="20">
        <f t="shared" si="52"/>
        <v>75.147657507410187</v>
      </c>
      <c r="S70" s="20">
        <f t="shared" si="52"/>
        <v>74.00108119066121</v>
      </c>
      <c r="T70" s="20">
        <f t="shared" si="52"/>
        <v>73.924579453938506</v>
      </c>
      <c r="U70" s="20">
        <f t="shared" si="52"/>
        <v>94.487312627188729</v>
      </c>
      <c r="V70" s="20">
        <f t="shared" si="52"/>
        <v>61.246906113962197</v>
      </c>
      <c r="W70" s="20">
        <f t="shared" si="52"/>
        <v>74.804330010913446</v>
      </c>
      <c r="X70" s="20">
        <f t="shared" si="52"/>
        <v>74.618909519773041</v>
      </c>
      <c r="Y70" s="20">
        <f t="shared" si="52"/>
        <v>91.074967252064326</v>
      </c>
      <c r="Z70" s="20">
        <f t="shared" si="52"/>
        <v>61.187011547924584</v>
      </c>
      <c r="AA70" s="20">
        <f t="shared" si="52"/>
        <v>64.627594139534438</v>
      </c>
      <c r="AB70" s="20">
        <f t="shared" si="52"/>
        <v>63.130730125005428</v>
      </c>
      <c r="AC70" s="20">
        <f t="shared" si="52"/>
        <v>89.726644295680927</v>
      </c>
      <c r="AD70" s="20">
        <f t="shared" si="52"/>
        <v>59.600070901665028</v>
      </c>
      <c r="AE70" s="20">
        <f t="shared" si="52"/>
        <v>63.892470936321729</v>
      </c>
      <c r="AF70" s="20">
        <f t="shared" si="52"/>
        <v>63.363031124362692</v>
      </c>
      <c r="AG70" s="20">
        <f t="shared" si="52"/>
        <v>110.55898125185561</v>
      </c>
      <c r="AH70" s="20">
        <f t="shared" si="52"/>
        <v>60.547594754965459</v>
      </c>
      <c r="AI70" s="20">
        <f t="shared" si="52"/>
        <v>60.078266075639732</v>
      </c>
      <c r="AJ70" s="20">
        <f t="shared" si="52"/>
        <v>60.020554071198553</v>
      </c>
      <c r="AK70" s="20">
        <f t="shared" si="52"/>
        <v>77.633022449628811</v>
      </c>
      <c r="AL70" s="20">
        <f t="shared" si="52"/>
        <v>77.574925266457058</v>
      </c>
      <c r="AM70" s="20">
        <f t="shared" si="52"/>
        <v>61.860531634428703</v>
      </c>
      <c r="AN70" s="20">
        <f t="shared" si="52"/>
        <v>55.978022350418058</v>
      </c>
      <c r="AO70" s="20">
        <f t="shared" si="52"/>
        <v>55.971559992633956</v>
      </c>
      <c r="AP70" s="20">
        <f t="shared" si="52"/>
        <v>55.965099126765629</v>
      </c>
      <c r="AQ70" s="20">
        <f t="shared" si="52"/>
        <v>64.90229745562857</v>
      </c>
      <c r="AR70" s="20">
        <f t="shared" si="52"/>
        <v>66.822435171570703</v>
      </c>
      <c r="AS70" s="20">
        <f t="shared" si="52"/>
        <v>63.001608189136427</v>
      </c>
      <c r="AT70" s="20">
        <f t="shared" si="52"/>
        <v>63.804765520399229</v>
      </c>
      <c r="AU70" s="20">
        <f t="shared" si="52"/>
        <v>65.911818049484808</v>
      </c>
      <c r="AV70" s="20">
        <f t="shared" si="52"/>
        <v>64.628134249696387</v>
      </c>
      <c r="AW70" s="20">
        <f t="shared" si="52"/>
        <v>82.11832192797506</v>
      </c>
      <c r="AX70" s="20">
        <f t="shared" si="52"/>
        <v>62.466318598973245</v>
      </c>
      <c r="AY70" s="20">
        <f t="shared" si="52"/>
        <v>50.266976681835573</v>
      </c>
      <c r="AZ70" s="20">
        <f t="shared" si="52"/>
        <v>50.165138228497376</v>
      </c>
      <c r="BA70" s="20">
        <f t="shared" si="52"/>
        <v>63.489395050180754</v>
      </c>
      <c r="BB70" s="20">
        <f t="shared" si="52"/>
        <v>65.268158471596365</v>
      </c>
      <c r="BC70" s="20">
        <f t="shared" si="52"/>
        <v>56.547528585093744</v>
      </c>
      <c r="BD70" s="20">
        <f t="shared" si="52"/>
        <v>66.989317580376962</v>
      </c>
      <c r="BE70" s="20">
        <f t="shared" si="52"/>
        <v>66.254524646070507</v>
      </c>
      <c r="BF70" s="20">
        <f t="shared" si="52"/>
        <v>95.711513887531808</v>
      </c>
      <c r="BG70" s="20">
        <f t="shared" si="52"/>
        <v>58.500078108322938</v>
      </c>
      <c r="BH70" s="20">
        <f t="shared" si="52"/>
        <v>52.287734350481287</v>
      </c>
      <c r="BI70" s="20">
        <f t="shared" si="52"/>
        <v>51.828604461068053</v>
      </c>
      <c r="BJ70" s="20">
        <f t="shared" si="52"/>
        <v>59.157470005077087</v>
      </c>
      <c r="BK70" s="20">
        <f t="shared" si="52"/>
        <v>67.986974405850091</v>
      </c>
      <c r="BL70" s="20">
        <f t="shared" si="52"/>
        <v>69.312741044773958</v>
      </c>
      <c r="BM70" s="20">
        <f t="shared" si="52"/>
        <v>67.243712307827508</v>
      </c>
      <c r="BN70" s="20">
        <f t="shared" si="52"/>
        <v>67.618162176500675</v>
      </c>
      <c r="BO70" s="20">
        <f t="shared" ref="BO70:BV70" si="53">BO69/BO127*100</f>
        <v>75.872328843966869</v>
      </c>
      <c r="BP70" s="20">
        <f t="shared" si="53"/>
        <v>55.442251128606671</v>
      </c>
      <c r="BQ70" s="20">
        <f t="shared" si="53"/>
        <v>46.931060661942276</v>
      </c>
      <c r="BR70" s="20">
        <f t="shared" si="53"/>
        <v>46.096597202326699</v>
      </c>
      <c r="BS70" s="20">
        <f t="shared" si="53"/>
        <v>55.997244248941648</v>
      </c>
      <c r="BT70" s="20">
        <f t="shared" si="53"/>
        <v>68.373522997013154</v>
      </c>
      <c r="BU70" s="20">
        <f t="shared" si="53"/>
        <v>67.628269125128369</v>
      </c>
      <c r="BV70" s="20">
        <f t="shared" si="53"/>
        <v>61.602237132970373</v>
      </c>
      <c r="BW70" s="20">
        <f>BW69/BW127*100</f>
        <v>68.573521268656023</v>
      </c>
      <c r="BX70" s="24"/>
      <c r="BY70" s="25"/>
      <c r="BZ70" s="20">
        <f>BZ69/BZ127*100</f>
        <v>66.616100257004092</v>
      </c>
      <c r="CA70" s="20">
        <f>CA69/CA127*100</f>
        <v>64.750942995366373</v>
      </c>
      <c r="CB70" s="20">
        <f>CB69/CB127*100</f>
        <v>79.857758521408954</v>
      </c>
      <c r="CC70" s="28"/>
      <c r="CD70" s="28"/>
      <c r="CE70" s="28"/>
      <c r="CF70" s="20">
        <f>CF69/CF127*100</f>
        <v>52.16514986652836</v>
      </c>
      <c r="CG70" s="20">
        <f>CG69/CG127*100</f>
        <v>57.167212703067484</v>
      </c>
      <c r="CH70" s="20">
        <f t="shared" si="12"/>
        <v>5.0020628365391246</v>
      </c>
      <c r="CI70" s="20">
        <f t="shared" si="13"/>
        <v>109.58889766316705</v>
      </c>
      <c r="CJ70" s="20">
        <f>CJ69/CJ127*100</f>
        <v>50.446738023593795</v>
      </c>
      <c r="CK70" s="20">
        <f>CK69/CK127*100</f>
        <v>48.896592009252792</v>
      </c>
    </row>
    <row r="71" spans="1:90" ht="36" customHeight="1">
      <c r="A71" s="18" t="s">
        <v>206</v>
      </c>
      <c r="B71" s="19" t="s">
        <v>207</v>
      </c>
      <c r="C71" s="20">
        <f t="shared" ref="C71:L71" si="54">C74+C89+C77+C93</f>
        <v>31417.117000000002</v>
      </c>
      <c r="D71" s="20">
        <f t="shared" si="54"/>
        <v>25706.600000000002</v>
      </c>
      <c r="E71" s="20">
        <f t="shared" si="54"/>
        <v>50784.3</v>
      </c>
      <c r="F71" s="20">
        <f t="shared" si="54"/>
        <v>47549.112650000003</v>
      </c>
      <c r="G71" s="20">
        <f t="shared" si="54"/>
        <v>27846.400000000001</v>
      </c>
      <c r="H71" s="20">
        <f t="shared" si="54"/>
        <v>37875.700000000004</v>
      </c>
      <c r="I71" s="20">
        <f t="shared" si="54"/>
        <v>37873.657959999997</v>
      </c>
      <c r="J71" s="20">
        <f t="shared" si="54"/>
        <v>28847.9</v>
      </c>
      <c r="K71" s="20">
        <f t="shared" si="54"/>
        <v>36038</v>
      </c>
      <c r="L71" s="20">
        <f t="shared" si="54"/>
        <v>36025.459719999999</v>
      </c>
      <c r="M71" s="20">
        <f>M74+M89+M77+M93+M123+M120</f>
        <v>136433.37505</v>
      </c>
      <c r="N71" s="20">
        <f>N74+N89+N77+N93</f>
        <v>29131.300000000003</v>
      </c>
      <c r="O71" s="20">
        <f>O74+O89+O77+O93</f>
        <v>42450.9</v>
      </c>
      <c r="P71" s="20">
        <f>P74+P89+P77+P93</f>
        <v>42059.500910000002</v>
      </c>
      <c r="Q71" s="20">
        <f>Q74+Q89+Q77+Q93+Q123+Q120</f>
        <v>177430.27063000001</v>
      </c>
      <c r="R71" s="20">
        <f>R74+R89+R77+R93</f>
        <v>41274.400000000001</v>
      </c>
      <c r="S71" s="20">
        <f>S74+S89+S77+S93</f>
        <v>43754.2</v>
      </c>
      <c r="T71" s="20">
        <f>T74+T89+T77+T93</f>
        <v>43754.127990000001</v>
      </c>
      <c r="U71" s="20">
        <f>U74+U89+U77+U93+U123+U120</f>
        <v>117162.103</v>
      </c>
      <c r="V71" s="20">
        <f>V74+V89+V77+V93</f>
        <v>29644.3</v>
      </c>
      <c r="W71" s="20">
        <f>W74+W89+W77+W93</f>
        <v>56685.3</v>
      </c>
      <c r="X71" s="20">
        <f>X74+X89+X77+X93</f>
        <v>56600.923360000001</v>
      </c>
      <c r="Y71" s="20">
        <f>Y74+Y89+Y77+Y93+Y123+Y120</f>
        <v>196067.09779999999</v>
      </c>
      <c r="Z71" s="20">
        <f>Z74+Z89+Z77+Z93</f>
        <v>28989</v>
      </c>
      <c r="AA71" s="20">
        <f>AA74+AA89+AA77+AA93</f>
        <v>37510.14</v>
      </c>
      <c r="AB71" s="20">
        <f>AB74+AB89+AB77+AB93</f>
        <v>37510.149740000001</v>
      </c>
      <c r="AC71" s="20">
        <f>AC74+AC89+AC77+AC93+AC123+AC120</f>
        <v>45979.069750000002</v>
      </c>
      <c r="AD71" s="20">
        <f>AD74+AD89+AD77+AD93</f>
        <v>29590.899999999998</v>
      </c>
      <c r="AE71" s="20">
        <f>AE74+AE89+AE77+AE93</f>
        <v>39042.899999999994</v>
      </c>
      <c r="AF71" s="20">
        <f>AF74+AF89+AF77+AF93</f>
        <v>39042.954549999995</v>
      </c>
      <c r="AG71" s="20">
        <f>AG74+AG89+AG77+AG93+AG123+AG120+AG124</f>
        <v>98672.852529999989</v>
      </c>
      <c r="AH71" s="20">
        <f t="shared" ref="AH71:BB71" si="55">AH74+AH89+AH77+AH93</f>
        <v>32823.700000000004</v>
      </c>
      <c r="AI71" s="20">
        <f t="shared" si="55"/>
        <v>32024</v>
      </c>
      <c r="AJ71" s="20">
        <f t="shared" si="55"/>
        <v>32001.1</v>
      </c>
      <c r="AK71" s="20">
        <f t="shared" si="55"/>
        <v>77915.299999999988</v>
      </c>
      <c r="AL71" s="20">
        <f t="shared" si="55"/>
        <v>77915.312600000005</v>
      </c>
      <c r="AM71" s="20">
        <f t="shared" si="55"/>
        <v>77915.312600000005</v>
      </c>
      <c r="AN71" s="20">
        <f t="shared" si="55"/>
        <v>29090.100000000002</v>
      </c>
      <c r="AO71" s="20">
        <f t="shared" si="55"/>
        <v>29090.100000000002</v>
      </c>
      <c r="AP71" s="20">
        <f t="shared" si="55"/>
        <v>29090.100000000002</v>
      </c>
      <c r="AQ71" s="20">
        <f t="shared" si="55"/>
        <v>43788.7</v>
      </c>
      <c r="AR71" s="20">
        <f t="shared" si="55"/>
        <v>47916.5</v>
      </c>
      <c r="AS71" s="20">
        <f t="shared" si="55"/>
        <v>41879.199999999997</v>
      </c>
      <c r="AT71" s="20">
        <f t="shared" si="55"/>
        <v>44503.9</v>
      </c>
      <c r="AU71" s="20">
        <f t="shared" si="55"/>
        <v>50730.9</v>
      </c>
      <c r="AV71" s="20">
        <f t="shared" si="55"/>
        <v>50541.789810000002</v>
      </c>
      <c r="AW71" s="20">
        <f>AW74+AW89+AW77+AW93</f>
        <v>50541.789810000002</v>
      </c>
      <c r="AX71" s="20">
        <f t="shared" si="55"/>
        <v>41406.800000000003</v>
      </c>
      <c r="AY71" s="20">
        <f>AY74+AY89+AY77+AY93</f>
        <v>25606.200000000004</v>
      </c>
      <c r="AZ71" s="20">
        <f>AZ74+AZ89+AZ77+AZ93</f>
        <v>25562.5</v>
      </c>
      <c r="BA71" s="20">
        <f t="shared" si="55"/>
        <v>45206.100000000006</v>
      </c>
      <c r="BB71" s="20">
        <f t="shared" si="55"/>
        <v>50765.900000000009</v>
      </c>
      <c r="BC71" s="20">
        <f t="shared" ref="BC71:BO71" si="56">BC74+BC89+BC77+BC93</f>
        <v>37952.100000000006</v>
      </c>
      <c r="BD71" s="20">
        <f t="shared" si="56"/>
        <v>62120.4</v>
      </c>
      <c r="BE71" s="20">
        <f t="shared" si="56"/>
        <v>62115.89837000001</v>
      </c>
      <c r="BF71" s="20">
        <f t="shared" si="56"/>
        <v>62115.89837000001</v>
      </c>
      <c r="BG71" s="20">
        <f t="shared" si="56"/>
        <v>38065.300000000003</v>
      </c>
      <c r="BH71" s="20">
        <f t="shared" si="56"/>
        <v>30087.200000000001</v>
      </c>
      <c r="BI71" s="20">
        <f t="shared" si="56"/>
        <v>29835.5</v>
      </c>
      <c r="BJ71" s="20">
        <f t="shared" si="56"/>
        <v>39849.300000000003</v>
      </c>
      <c r="BK71" s="20">
        <f t="shared" si="56"/>
        <v>59502.2</v>
      </c>
      <c r="BL71" s="20">
        <f t="shared" si="56"/>
        <v>71905.8</v>
      </c>
      <c r="BM71" s="20">
        <f t="shared" si="56"/>
        <v>68788.100000000006</v>
      </c>
      <c r="BN71" s="20">
        <f t="shared" si="56"/>
        <v>71905.772979999994</v>
      </c>
      <c r="BO71" s="20">
        <f t="shared" si="56"/>
        <v>71905.772979999994</v>
      </c>
      <c r="BP71" s="20">
        <f t="shared" ref="BP71:BV71" si="57">BP74+BP89+BP77+BP93</f>
        <v>40054.199999999997</v>
      </c>
      <c r="BQ71" s="20">
        <f t="shared" si="57"/>
        <v>29155.5</v>
      </c>
      <c r="BR71" s="20">
        <f t="shared" si="57"/>
        <v>28671.9</v>
      </c>
      <c r="BS71" s="20">
        <f t="shared" si="57"/>
        <v>40965.399999999994</v>
      </c>
      <c r="BT71" s="20">
        <f t="shared" si="57"/>
        <v>70254</v>
      </c>
      <c r="BU71" s="20">
        <f t="shared" si="57"/>
        <v>70788.2</v>
      </c>
      <c r="BV71" s="20">
        <f t="shared" si="57"/>
        <v>39431.899999999994</v>
      </c>
      <c r="BW71" s="20">
        <f>BW74+BW89+BW77+BW93</f>
        <v>74055.7</v>
      </c>
      <c r="BX71" s="24">
        <f t="shared" si="7"/>
        <v>34001.5</v>
      </c>
      <c r="BY71" s="25">
        <f t="shared" si="8"/>
        <v>184.88872577657276</v>
      </c>
      <c r="BZ71" s="20">
        <f>BZ74+BZ89+BZ77+BZ93</f>
        <v>70788.2</v>
      </c>
      <c r="CA71" s="20">
        <f>CA74+CA89+CA77+CA93</f>
        <v>69199.961199999991</v>
      </c>
      <c r="CB71" s="20">
        <f>CB74+CB89+CB77+CB93</f>
        <v>69199.961199999991</v>
      </c>
      <c r="CC71" s="28">
        <f t="shared" ref="CC71:CC127" si="58">CA71/BP71*100</f>
        <v>172.76580533377273</v>
      </c>
      <c r="CD71" s="28">
        <f t="shared" ref="CD71:CD127" si="59">CA71/BW71*100</f>
        <v>93.443126187450787</v>
      </c>
      <c r="CE71" s="28">
        <f t="shared" ref="CE71:CE127" si="60">CA71/BN71*100</f>
        <v>96.237003417301963</v>
      </c>
      <c r="CF71" s="20">
        <f>CF74+CF89+CF77+CF93</f>
        <v>36628.700000000004</v>
      </c>
      <c r="CG71" s="20">
        <f>CG74+CG89+CG77+CG93</f>
        <v>44828.700000000004</v>
      </c>
      <c r="CH71" s="20">
        <f t="shared" si="12"/>
        <v>8200</v>
      </c>
      <c r="CI71" s="20">
        <f t="shared" si="13"/>
        <v>122.38681689494851</v>
      </c>
      <c r="CJ71" s="20">
        <f>CJ74+CJ89+CJ77+CJ93</f>
        <v>34621.9</v>
      </c>
      <c r="CK71" s="20">
        <f>CK74+CK89+CK77+CK93</f>
        <v>34299.199999999997</v>
      </c>
      <c r="CL71" s="44">
        <f>CG71-CG74</f>
        <v>24311.300000000003</v>
      </c>
    </row>
    <row r="72" spans="1:90" ht="3" hidden="1" customHeight="1">
      <c r="A72" s="18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3"/>
      <c r="BL72" s="20"/>
      <c r="BM72" s="20"/>
      <c r="BN72" s="20"/>
      <c r="BO72" s="20"/>
      <c r="BP72" s="20"/>
      <c r="BQ72" s="20"/>
      <c r="BR72" s="20"/>
      <c r="BS72" s="23"/>
      <c r="BT72" s="20"/>
      <c r="BU72" s="20"/>
      <c r="BV72" s="20"/>
      <c r="BW72" s="20"/>
      <c r="BX72" s="24">
        <f t="shared" ref="BX72:BX127" si="61">BW72-BP72</f>
        <v>0</v>
      </c>
      <c r="BY72" s="25" t="e">
        <f t="shared" ref="BY72:BY127" si="62">BW72/BP72*100</f>
        <v>#DIV/0!</v>
      </c>
      <c r="BZ72" s="20"/>
      <c r="CA72" s="20"/>
      <c r="CB72" s="20"/>
      <c r="CC72" s="28" t="e">
        <f t="shared" si="58"/>
        <v>#DIV/0!</v>
      </c>
      <c r="CD72" s="28" t="e">
        <f t="shared" si="59"/>
        <v>#DIV/0!</v>
      </c>
      <c r="CE72" s="28" t="e">
        <f t="shared" si="60"/>
        <v>#DIV/0!</v>
      </c>
      <c r="CF72" s="20"/>
      <c r="CG72" s="20"/>
      <c r="CH72" s="20">
        <f t="shared" ref="CH72:CH127" si="63">CG72-CF72</f>
        <v>0</v>
      </c>
      <c r="CI72" s="20" t="e">
        <f t="shared" ref="CI72:CI127" si="64">CG72/CF72*100</f>
        <v>#DIV/0!</v>
      </c>
      <c r="CJ72" s="20"/>
      <c r="CK72" s="20"/>
    </row>
    <row r="73" spans="1:90" ht="40.5" hidden="1" customHeight="1">
      <c r="A73" s="18"/>
      <c r="B73" s="19" t="s">
        <v>208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>
        <f>AX71-AX74</f>
        <v>22262.400000000001</v>
      </c>
      <c r="AY73" s="20"/>
      <c r="AZ73" s="20"/>
      <c r="BA73" s="20">
        <f>BA71-BA74</f>
        <v>26061.700000000004</v>
      </c>
      <c r="BB73" s="20">
        <f>BB71-BB74</f>
        <v>31621.500000000007</v>
      </c>
      <c r="BC73" s="20">
        <f>BC71-BC74</f>
        <v>18807.700000000004</v>
      </c>
      <c r="BD73" s="20">
        <f>BD71-BD74</f>
        <v>42976</v>
      </c>
      <c r="BE73" s="20"/>
      <c r="BF73" s="20"/>
      <c r="BG73" s="20">
        <f>BG71-BG74</f>
        <v>17774.100000000002</v>
      </c>
      <c r="BH73" s="20"/>
      <c r="BI73" s="20"/>
      <c r="BJ73" s="21">
        <f>BJ71-BJ74</f>
        <v>19558.000000000004</v>
      </c>
      <c r="BK73" s="22">
        <f>BK71-BK74</f>
        <v>39210.899999999994</v>
      </c>
      <c r="BL73" s="20">
        <f>BL71-BL74</f>
        <v>51622.700000000004</v>
      </c>
      <c r="BM73" s="20"/>
      <c r="BN73" s="20"/>
      <c r="BO73" s="20"/>
      <c r="BP73" s="20">
        <f>BP71-BP74</f>
        <v>23602.299999999996</v>
      </c>
      <c r="BQ73" s="20"/>
      <c r="BR73" s="20"/>
      <c r="BS73" s="22">
        <f>BX71-BX74</f>
        <v>34008.699999999997</v>
      </c>
      <c r="BT73" s="20">
        <f>BX71-BX74</f>
        <v>34008.699999999997</v>
      </c>
      <c r="BU73" s="20">
        <f>BY71-BY74</f>
        <v>84.932489718731418</v>
      </c>
      <c r="BV73" s="20">
        <f>CF71-CF74</f>
        <v>16111.300000000003</v>
      </c>
      <c r="BW73" s="20" t="e">
        <f>#REF!-#REF!</f>
        <v>#REF!</v>
      </c>
      <c r="BX73" s="24" t="e">
        <f t="shared" si="61"/>
        <v>#REF!</v>
      </c>
      <c r="BY73" s="25" t="e">
        <f t="shared" si="62"/>
        <v>#REF!</v>
      </c>
      <c r="BZ73" s="20" t="e">
        <f>#REF!-#REF!</f>
        <v>#REF!</v>
      </c>
      <c r="CA73" s="20"/>
      <c r="CB73" s="20"/>
      <c r="CC73" s="28">
        <f t="shared" si="58"/>
        <v>0</v>
      </c>
      <c r="CD73" s="28" t="e">
        <f t="shared" si="59"/>
        <v>#REF!</v>
      </c>
      <c r="CE73" s="28" t="e">
        <f t="shared" si="60"/>
        <v>#DIV/0!</v>
      </c>
      <c r="CF73" s="20">
        <f>CF71-CF74</f>
        <v>16111.300000000003</v>
      </c>
      <c r="CG73" s="20">
        <f>CG71-CG74</f>
        <v>24311.300000000003</v>
      </c>
      <c r="CH73" s="20">
        <f t="shared" si="63"/>
        <v>8200</v>
      </c>
      <c r="CI73" s="20">
        <f t="shared" si="64"/>
        <v>150.89595501294122</v>
      </c>
      <c r="CJ73" s="20"/>
      <c r="CK73" s="20"/>
    </row>
    <row r="74" spans="1:90" ht="29.25" customHeight="1">
      <c r="A74" s="18" t="s">
        <v>209</v>
      </c>
      <c r="B74" s="19" t="s">
        <v>210</v>
      </c>
      <c r="C74" s="20">
        <f t="shared" ref="C74:AP74" si="65">C75+C76</f>
        <v>21206.855</v>
      </c>
      <c r="D74" s="20">
        <f t="shared" si="65"/>
        <v>25108.7</v>
      </c>
      <c r="E74" s="20">
        <f t="shared" si="65"/>
        <v>33287.9</v>
      </c>
      <c r="F74" s="20">
        <f t="shared" si="65"/>
        <v>33287.9</v>
      </c>
      <c r="G74" s="20">
        <f t="shared" si="65"/>
        <v>23604.5</v>
      </c>
      <c r="H74" s="20">
        <f t="shared" si="65"/>
        <v>26760.300000000003</v>
      </c>
      <c r="I74" s="20">
        <f t="shared" si="65"/>
        <v>26760.332999999999</v>
      </c>
      <c r="J74" s="20">
        <f t="shared" si="65"/>
        <v>25129.9</v>
      </c>
      <c r="K74" s="20">
        <f t="shared" si="65"/>
        <v>30112.5</v>
      </c>
      <c r="L74" s="20">
        <f t="shared" si="65"/>
        <v>30112.464</v>
      </c>
      <c r="M74" s="20">
        <f t="shared" si="65"/>
        <v>30112.464</v>
      </c>
      <c r="N74" s="20">
        <f t="shared" si="65"/>
        <v>25388.9</v>
      </c>
      <c r="O74" s="20">
        <f t="shared" si="65"/>
        <v>24860.9</v>
      </c>
      <c r="P74" s="20">
        <f t="shared" si="65"/>
        <v>24860.94526</v>
      </c>
      <c r="Q74" s="20">
        <f t="shared" si="65"/>
        <v>24860.94526</v>
      </c>
      <c r="R74" s="20">
        <f t="shared" si="65"/>
        <v>24796.5</v>
      </c>
      <c r="S74" s="20">
        <f t="shared" si="65"/>
        <v>25519</v>
      </c>
      <c r="T74" s="20">
        <f t="shared" si="65"/>
        <v>25518.97</v>
      </c>
      <c r="U74" s="20">
        <f t="shared" si="65"/>
        <v>25518.97</v>
      </c>
      <c r="V74" s="20">
        <f t="shared" si="65"/>
        <v>25783.599999999999</v>
      </c>
      <c r="W74" s="20">
        <f t="shared" si="65"/>
        <v>31474.9</v>
      </c>
      <c r="X74" s="20">
        <f t="shared" si="65"/>
        <v>31474.9</v>
      </c>
      <c r="Y74" s="20">
        <f t="shared" si="65"/>
        <v>31474.9</v>
      </c>
      <c r="Z74" s="20">
        <f t="shared" si="65"/>
        <v>27116.9</v>
      </c>
      <c r="AA74" s="20">
        <f t="shared" si="65"/>
        <v>31645.3</v>
      </c>
      <c r="AB74" s="20">
        <f t="shared" si="65"/>
        <v>31645.343000000001</v>
      </c>
      <c r="AC74" s="20">
        <f t="shared" si="65"/>
        <v>31645.343000000001</v>
      </c>
      <c r="AD74" s="20">
        <f t="shared" si="65"/>
        <v>25631.699999999997</v>
      </c>
      <c r="AE74" s="20">
        <f t="shared" si="65"/>
        <v>26197.8</v>
      </c>
      <c r="AF74" s="20">
        <f t="shared" si="65"/>
        <v>26197.760999999999</v>
      </c>
      <c r="AG74" s="20">
        <f t="shared" si="65"/>
        <v>26197.760999999999</v>
      </c>
      <c r="AH74" s="20">
        <f t="shared" si="65"/>
        <v>25647.300000000003</v>
      </c>
      <c r="AI74" s="20">
        <f t="shared" si="65"/>
        <v>25499.599999999999</v>
      </c>
      <c r="AJ74" s="20">
        <f t="shared" si="65"/>
        <v>25463.600000000002</v>
      </c>
      <c r="AK74" s="20">
        <f t="shared" si="65"/>
        <v>25291.3</v>
      </c>
      <c r="AL74" s="20">
        <f t="shared" si="65"/>
        <v>25291.342000000001</v>
      </c>
      <c r="AM74" s="20">
        <f t="shared" si="65"/>
        <v>25291.342000000001</v>
      </c>
      <c r="AN74" s="20">
        <f t="shared" si="65"/>
        <v>26672.7</v>
      </c>
      <c r="AO74" s="20">
        <f t="shared" si="65"/>
        <v>26672.7</v>
      </c>
      <c r="AP74" s="20">
        <f t="shared" si="65"/>
        <v>26672.7</v>
      </c>
      <c r="AQ74" s="20">
        <v>27963.5</v>
      </c>
      <c r="AR74" s="20">
        <v>29963.4</v>
      </c>
      <c r="AS74" s="20">
        <v>18665.400000000001</v>
      </c>
      <c r="AT74" s="20">
        <f t="shared" ref="AT74:AZ74" si="66">AT75+AT76</f>
        <v>18665.400000000001</v>
      </c>
      <c r="AU74" s="20">
        <f t="shared" si="66"/>
        <v>18665.400000000001</v>
      </c>
      <c r="AV74" s="20">
        <f t="shared" si="66"/>
        <v>18665.400000000001</v>
      </c>
      <c r="AW74" s="20">
        <f t="shared" si="66"/>
        <v>18665.400000000001</v>
      </c>
      <c r="AX74" s="20">
        <f t="shared" si="66"/>
        <v>19144.400000000001</v>
      </c>
      <c r="AY74" s="20">
        <f t="shared" si="66"/>
        <v>18640.7</v>
      </c>
      <c r="AZ74" s="20">
        <f t="shared" si="66"/>
        <v>19693.5</v>
      </c>
      <c r="BA74" s="20">
        <v>19144.400000000001</v>
      </c>
      <c r="BB74" s="20">
        <v>19144.400000000001</v>
      </c>
      <c r="BC74" s="20">
        <v>19144.400000000001</v>
      </c>
      <c r="BD74" s="20">
        <v>19144.400000000001</v>
      </c>
      <c r="BE74" s="20">
        <v>19144.400000000001</v>
      </c>
      <c r="BF74" s="20">
        <f t="shared" ref="BF74:BM74" si="67">BF75+BF76</f>
        <v>19144.400000000001</v>
      </c>
      <c r="BG74" s="20">
        <f t="shared" si="67"/>
        <v>20291.2</v>
      </c>
      <c r="BH74" s="20">
        <f t="shared" si="67"/>
        <v>20162.5</v>
      </c>
      <c r="BI74" s="20">
        <f t="shared" si="67"/>
        <v>20495.5</v>
      </c>
      <c r="BJ74" s="20">
        <f t="shared" si="67"/>
        <v>20291.3</v>
      </c>
      <c r="BK74" s="20">
        <f t="shared" si="67"/>
        <v>20291.3</v>
      </c>
      <c r="BL74" s="20">
        <f t="shared" si="67"/>
        <v>20283.099999999999</v>
      </c>
      <c r="BM74" s="20">
        <f t="shared" si="67"/>
        <v>20291.2</v>
      </c>
      <c r="BN74" s="20">
        <f>BN75</f>
        <v>20283.099999999999</v>
      </c>
      <c r="BO74" s="20">
        <f>BO75+BO76</f>
        <v>20283.099999999999</v>
      </c>
      <c r="BP74" s="20">
        <f t="shared" ref="BP74:BV74" si="68">BP75+BP76</f>
        <v>16451.900000000001</v>
      </c>
      <c r="BQ74" s="20">
        <f t="shared" si="68"/>
        <v>17546.8</v>
      </c>
      <c r="BR74" s="20">
        <f t="shared" si="68"/>
        <v>19261.5</v>
      </c>
      <c r="BS74" s="20">
        <f t="shared" si="68"/>
        <v>16451.900000000001</v>
      </c>
      <c r="BT74" s="20">
        <f t="shared" si="68"/>
        <v>16451.900000000001</v>
      </c>
      <c r="BU74" s="20">
        <f t="shared" si="68"/>
        <v>16444.7</v>
      </c>
      <c r="BV74" s="20">
        <f t="shared" si="68"/>
        <v>13161.5</v>
      </c>
      <c r="BW74" s="20">
        <f>BW75+BW76</f>
        <v>16444.7</v>
      </c>
      <c r="BX74" s="24">
        <f t="shared" si="61"/>
        <v>-7.2000000000007276</v>
      </c>
      <c r="BY74" s="25">
        <f t="shared" si="62"/>
        <v>99.956236057841338</v>
      </c>
      <c r="BZ74" s="20">
        <f>BZ75+BZ76</f>
        <v>16444.7</v>
      </c>
      <c r="CA74" s="20">
        <f>CA75</f>
        <v>16444.7</v>
      </c>
      <c r="CB74" s="20">
        <f>CB75+CB76</f>
        <v>16444.7</v>
      </c>
      <c r="CC74" s="28">
        <f t="shared" si="58"/>
        <v>99.956236057841338</v>
      </c>
      <c r="CD74" s="28">
        <f t="shared" si="59"/>
        <v>100</v>
      </c>
      <c r="CE74" s="28">
        <f t="shared" si="60"/>
        <v>81.075871045353026</v>
      </c>
      <c r="CF74" s="20">
        <f>CF75+CF76</f>
        <v>20517.400000000001</v>
      </c>
      <c r="CG74" s="20">
        <f>CG75+CG76</f>
        <v>20517.400000000001</v>
      </c>
      <c r="CH74" s="20">
        <f t="shared" si="63"/>
        <v>0</v>
      </c>
      <c r="CI74" s="20">
        <f t="shared" si="64"/>
        <v>100</v>
      </c>
      <c r="CJ74" s="20">
        <f>CJ75+CJ76</f>
        <v>21305</v>
      </c>
      <c r="CK74" s="20">
        <f>CK75+CK76</f>
        <v>21394.9</v>
      </c>
    </row>
    <row r="75" spans="1:90" ht="22.5" hidden="1" customHeight="1">
      <c r="A75" s="10" t="s">
        <v>211</v>
      </c>
      <c r="B75" s="40" t="s">
        <v>212</v>
      </c>
      <c r="C75" s="28">
        <v>6110</v>
      </c>
      <c r="D75" s="28">
        <v>10578.6</v>
      </c>
      <c r="E75" s="28">
        <v>10703.5</v>
      </c>
      <c r="F75" s="28">
        <v>10703.5</v>
      </c>
      <c r="G75" s="28">
        <v>12391.2</v>
      </c>
      <c r="H75" s="28">
        <v>12391.2</v>
      </c>
      <c r="I75" s="28">
        <v>12391.2</v>
      </c>
      <c r="J75" s="28">
        <v>14496.7</v>
      </c>
      <c r="K75" s="28">
        <v>14496.7</v>
      </c>
      <c r="L75" s="28">
        <v>14496.7</v>
      </c>
      <c r="M75" s="28">
        <v>14496.7</v>
      </c>
      <c r="N75" s="28">
        <v>15368.7</v>
      </c>
      <c r="O75" s="28">
        <v>15368.7</v>
      </c>
      <c r="P75" s="28">
        <v>15368.7</v>
      </c>
      <c r="Q75" s="28">
        <v>15368.7</v>
      </c>
      <c r="R75" s="28">
        <v>15819.1</v>
      </c>
      <c r="S75" s="28">
        <v>16626.099999999999</v>
      </c>
      <c r="T75" s="28">
        <v>16626.099999999999</v>
      </c>
      <c r="U75" s="28">
        <v>16626.099999999999</v>
      </c>
      <c r="V75" s="28">
        <v>16306.4</v>
      </c>
      <c r="W75" s="28">
        <v>16306.4</v>
      </c>
      <c r="X75" s="28">
        <v>16306.4</v>
      </c>
      <c r="Y75" s="28">
        <v>31474.9</v>
      </c>
      <c r="Z75" s="28">
        <v>14866</v>
      </c>
      <c r="AA75" s="28">
        <v>14866</v>
      </c>
      <c r="AB75" s="28">
        <v>14866</v>
      </c>
      <c r="AC75" s="28">
        <v>14866</v>
      </c>
      <c r="AD75" s="28">
        <v>14625.8</v>
      </c>
      <c r="AE75" s="28">
        <v>14625.8</v>
      </c>
      <c r="AF75" s="28">
        <v>14625.8</v>
      </c>
      <c r="AG75" s="28">
        <v>14625.8</v>
      </c>
      <c r="AH75" s="28">
        <v>16895.900000000001</v>
      </c>
      <c r="AI75" s="28">
        <v>16793</v>
      </c>
      <c r="AJ75" s="28">
        <v>16811.400000000001</v>
      </c>
      <c r="AK75" s="28">
        <v>16996.5</v>
      </c>
      <c r="AL75" s="28">
        <v>16996.5</v>
      </c>
      <c r="AM75" s="28">
        <v>16996.5</v>
      </c>
      <c r="AN75" s="28">
        <v>18665.400000000001</v>
      </c>
      <c r="AO75" s="28">
        <v>18665.400000000001</v>
      </c>
      <c r="AP75" s="28">
        <v>18665.400000000001</v>
      </c>
      <c r="AQ75" s="28"/>
      <c r="AR75" s="28"/>
      <c r="AS75" s="28"/>
      <c r="AT75" s="28">
        <v>18665.400000000001</v>
      </c>
      <c r="AU75" s="28">
        <v>18665.400000000001</v>
      </c>
      <c r="AV75" s="28">
        <v>18665.400000000001</v>
      </c>
      <c r="AW75" s="28">
        <v>18665.400000000001</v>
      </c>
      <c r="AX75" s="28">
        <v>19144.400000000001</v>
      </c>
      <c r="AY75" s="28">
        <v>18640.7</v>
      </c>
      <c r="AZ75" s="28">
        <v>19693.5</v>
      </c>
      <c r="BA75" s="28">
        <v>19145.400000000001</v>
      </c>
      <c r="BB75" s="28">
        <v>19146.400000000001</v>
      </c>
      <c r="BC75" s="28">
        <v>19144.400000000001</v>
      </c>
      <c r="BD75" s="28">
        <v>19144.400000000001</v>
      </c>
      <c r="BE75" s="28">
        <v>19144.400000000001</v>
      </c>
      <c r="BF75" s="28">
        <v>19144.400000000001</v>
      </c>
      <c r="BG75" s="28">
        <v>20291.2</v>
      </c>
      <c r="BH75" s="28">
        <v>20162.5</v>
      </c>
      <c r="BI75" s="28">
        <v>20495.5</v>
      </c>
      <c r="BJ75" s="20">
        <v>20291.3</v>
      </c>
      <c r="BK75" s="23">
        <v>20291.3</v>
      </c>
      <c r="BL75" s="28">
        <v>20283.099999999999</v>
      </c>
      <c r="BM75" s="28">
        <v>20291.2</v>
      </c>
      <c r="BN75" s="28">
        <v>20283.099999999999</v>
      </c>
      <c r="BO75" s="28">
        <v>20283.099999999999</v>
      </c>
      <c r="BP75" s="28">
        <v>16451.900000000001</v>
      </c>
      <c r="BQ75" s="28">
        <v>17546.8</v>
      </c>
      <c r="BR75" s="28">
        <v>19261.5</v>
      </c>
      <c r="BS75" s="23">
        <v>16451.900000000001</v>
      </c>
      <c r="BT75" s="28">
        <v>16451.900000000001</v>
      </c>
      <c r="BU75" s="28">
        <v>16444.7</v>
      </c>
      <c r="BV75" s="28">
        <v>13161.5</v>
      </c>
      <c r="BW75" s="28">
        <v>16444.7</v>
      </c>
      <c r="BX75" s="24">
        <f t="shared" si="61"/>
        <v>-7.2000000000007276</v>
      </c>
      <c r="BY75" s="25">
        <f t="shared" si="62"/>
        <v>99.956236057841338</v>
      </c>
      <c r="BZ75" s="28">
        <v>16444.7</v>
      </c>
      <c r="CA75" s="28">
        <v>16444.7</v>
      </c>
      <c r="CB75" s="28">
        <v>16444.7</v>
      </c>
      <c r="CC75" s="28">
        <f t="shared" si="58"/>
        <v>99.956236057841338</v>
      </c>
      <c r="CD75" s="28">
        <f t="shared" si="59"/>
        <v>100</v>
      </c>
      <c r="CE75" s="28">
        <f t="shared" si="60"/>
        <v>81.075871045353026</v>
      </c>
      <c r="CF75" s="28">
        <v>20517.400000000001</v>
      </c>
      <c r="CG75" s="28">
        <v>20517.400000000001</v>
      </c>
      <c r="CH75" s="20">
        <f t="shared" si="63"/>
        <v>0</v>
      </c>
      <c r="CI75" s="20">
        <f t="shared" si="64"/>
        <v>100</v>
      </c>
      <c r="CJ75" s="28">
        <v>21305</v>
      </c>
      <c r="CK75" s="28">
        <v>21394.9</v>
      </c>
    </row>
    <row r="76" spans="1:90" ht="22.5" hidden="1" customHeight="1">
      <c r="A76" s="10" t="s">
        <v>213</v>
      </c>
      <c r="B76" s="40" t="s">
        <v>214</v>
      </c>
      <c r="C76" s="28">
        <v>15096.855</v>
      </c>
      <c r="D76" s="28">
        <v>14530.1</v>
      </c>
      <c r="E76" s="28">
        <v>22584.400000000001</v>
      </c>
      <c r="F76" s="28">
        <v>22584.400000000001</v>
      </c>
      <c r="G76" s="28">
        <v>11213.3</v>
      </c>
      <c r="H76" s="28">
        <v>14369.1</v>
      </c>
      <c r="I76" s="28">
        <v>14369.133</v>
      </c>
      <c r="J76" s="28">
        <v>10633.2</v>
      </c>
      <c r="K76" s="28">
        <v>15615.8</v>
      </c>
      <c r="L76" s="28">
        <v>15615.763999999999</v>
      </c>
      <c r="M76" s="28">
        <v>15615.763999999999</v>
      </c>
      <c r="N76" s="28">
        <v>10020.200000000001</v>
      </c>
      <c r="O76" s="28">
        <v>9492.2000000000007</v>
      </c>
      <c r="P76" s="28">
        <f>10878.37334-1386.12808</f>
        <v>9492.2452599999997</v>
      </c>
      <c r="Q76" s="28">
        <f>10878.37334-1386.12808</f>
        <v>9492.2452599999997</v>
      </c>
      <c r="R76" s="28">
        <v>8977.4</v>
      </c>
      <c r="S76" s="28">
        <v>8892.9</v>
      </c>
      <c r="T76" s="28">
        <v>8892.8700000000008</v>
      </c>
      <c r="U76" s="28">
        <v>8892.8700000000008</v>
      </c>
      <c r="V76" s="28">
        <v>9477.2000000000007</v>
      </c>
      <c r="W76" s="28">
        <v>15168.5</v>
      </c>
      <c r="X76" s="28">
        <v>15168.5</v>
      </c>
      <c r="Y76" s="28">
        <v>0</v>
      </c>
      <c r="Z76" s="28">
        <v>12250.9</v>
      </c>
      <c r="AA76" s="28">
        <v>16779.3</v>
      </c>
      <c r="AB76" s="28">
        <v>16779.343000000001</v>
      </c>
      <c r="AC76" s="28">
        <v>16779.343000000001</v>
      </c>
      <c r="AD76" s="28">
        <v>11005.9</v>
      </c>
      <c r="AE76" s="28">
        <v>11572</v>
      </c>
      <c r="AF76" s="28">
        <v>11571.960999999999</v>
      </c>
      <c r="AG76" s="28">
        <v>11571.960999999999</v>
      </c>
      <c r="AH76" s="28">
        <v>8751.4</v>
      </c>
      <c r="AI76" s="28">
        <v>8706.6</v>
      </c>
      <c r="AJ76" s="28">
        <v>8652.2000000000007</v>
      </c>
      <c r="AK76" s="28">
        <v>8294.7999999999993</v>
      </c>
      <c r="AL76" s="28">
        <v>8294.8420000000006</v>
      </c>
      <c r="AM76" s="28">
        <v>8294.8420000000006</v>
      </c>
      <c r="AN76" s="28">
        <v>8007.3</v>
      </c>
      <c r="AO76" s="28">
        <v>8007.3</v>
      </c>
      <c r="AP76" s="28">
        <v>8007.3</v>
      </c>
      <c r="AQ76" s="28"/>
      <c r="AR76" s="28"/>
      <c r="AS76" s="28"/>
      <c r="AT76" s="28"/>
      <c r="AU76" s="28"/>
      <c r="AV76" s="28">
        <v>0</v>
      </c>
      <c r="AW76" s="28">
        <v>0</v>
      </c>
      <c r="AX76" s="28"/>
      <c r="AY76" s="28"/>
      <c r="AZ76" s="28"/>
      <c r="BA76" s="28"/>
      <c r="BB76" s="28"/>
      <c r="BC76" s="28"/>
      <c r="BD76" s="28"/>
      <c r="BE76" s="28"/>
      <c r="BF76" s="28">
        <v>0</v>
      </c>
      <c r="BG76" s="28"/>
      <c r="BH76" s="28"/>
      <c r="BI76" s="28"/>
      <c r="BJ76" s="20"/>
      <c r="BK76" s="23"/>
      <c r="BL76" s="28"/>
      <c r="BM76" s="28"/>
      <c r="BN76" s="28"/>
      <c r="BO76" s="28"/>
      <c r="BP76" s="28"/>
      <c r="BQ76" s="28"/>
      <c r="BR76" s="28"/>
      <c r="BS76" s="23"/>
      <c r="BT76" s="28"/>
      <c r="BU76" s="28"/>
      <c r="BV76" s="28"/>
      <c r="BW76" s="28"/>
      <c r="BX76" s="24">
        <f t="shared" si="61"/>
        <v>0</v>
      </c>
      <c r="BY76" s="25" t="e">
        <f t="shared" si="62"/>
        <v>#DIV/0!</v>
      </c>
      <c r="BZ76" s="28"/>
      <c r="CA76" s="28"/>
      <c r="CB76" s="28"/>
      <c r="CC76" s="28" t="e">
        <f t="shared" si="58"/>
        <v>#DIV/0!</v>
      </c>
      <c r="CD76" s="28" t="e">
        <f t="shared" si="59"/>
        <v>#DIV/0!</v>
      </c>
      <c r="CE76" s="28" t="e">
        <f t="shared" si="60"/>
        <v>#DIV/0!</v>
      </c>
      <c r="CF76" s="28"/>
      <c r="CG76" s="28"/>
      <c r="CH76" s="20">
        <f t="shared" si="63"/>
        <v>0</v>
      </c>
      <c r="CI76" s="20" t="e">
        <f t="shared" si="64"/>
        <v>#DIV/0!</v>
      </c>
      <c r="CJ76" s="28"/>
      <c r="CK76" s="28"/>
    </row>
    <row r="77" spans="1:90" ht="41.25" customHeight="1">
      <c r="A77" s="18" t="s">
        <v>215</v>
      </c>
      <c r="B77" s="42" t="s">
        <v>216</v>
      </c>
      <c r="C77" s="20">
        <f t="shared" ref="C77:I77" si="69">C78+C79+C80+C81</f>
        <v>5965.47</v>
      </c>
      <c r="D77" s="20">
        <f t="shared" si="69"/>
        <v>0</v>
      </c>
      <c r="E77" s="20">
        <f t="shared" si="69"/>
        <v>15541.3</v>
      </c>
      <c r="F77" s="20">
        <f t="shared" si="69"/>
        <v>12306.21</v>
      </c>
      <c r="G77" s="20">
        <f t="shared" si="69"/>
        <v>3874.9</v>
      </c>
      <c r="H77" s="20">
        <f t="shared" si="69"/>
        <v>8505.6</v>
      </c>
      <c r="I77" s="20">
        <f t="shared" si="69"/>
        <v>8505.6200000000008</v>
      </c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>
        <f t="shared" ref="AK77:AP77" si="70">AK81</f>
        <v>12078.8</v>
      </c>
      <c r="AL77" s="20">
        <f t="shared" si="70"/>
        <v>12078.83</v>
      </c>
      <c r="AM77" s="20">
        <f t="shared" si="70"/>
        <v>12078.83</v>
      </c>
      <c r="AN77" s="20">
        <f t="shared" si="70"/>
        <v>60</v>
      </c>
      <c r="AO77" s="20">
        <f t="shared" si="70"/>
        <v>60</v>
      </c>
      <c r="AP77" s="20">
        <f t="shared" si="70"/>
        <v>60</v>
      </c>
      <c r="AQ77" s="20">
        <v>12614.9</v>
      </c>
      <c r="AR77" s="20">
        <v>12615</v>
      </c>
      <c r="AS77" s="20">
        <v>60</v>
      </c>
      <c r="AT77" s="20">
        <f t="shared" ref="AT77:BB77" si="71">AT81</f>
        <v>60</v>
      </c>
      <c r="AU77" s="20">
        <f t="shared" si="71"/>
        <v>60</v>
      </c>
      <c r="AV77" s="20">
        <f t="shared" si="71"/>
        <v>60</v>
      </c>
      <c r="AW77" s="20">
        <f>AW81</f>
        <v>60</v>
      </c>
      <c r="AX77" s="20">
        <f t="shared" si="71"/>
        <v>58.4</v>
      </c>
      <c r="AY77" s="20">
        <f t="shared" si="71"/>
        <v>58.5</v>
      </c>
      <c r="AZ77" s="20">
        <f t="shared" si="71"/>
        <v>58.4</v>
      </c>
      <c r="BA77" s="20">
        <f t="shared" si="71"/>
        <v>58.4</v>
      </c>
      <c r="BB77" s="20">
        <f t="shared" si="71"/>
        <v>58.4</v>
      </c>
      <c r="BC77" s="20">
        <v>58.4</v>
      </c>
      <c r="BD77" s="20">
        <v>58.4</v>
      </c>
      <c r="BE77" s="20">
        <v>58.4</v>
      </c>
      <c r="BF77" s="20">
        <f>BF81</f>
        <v>58.4</v>
      </c>
      <c r="BG77" s="20">
        <f>BG81</f>
        <v>31.1</v>
      </c>
      <c r="BH77" s="20">
        <f>BH81</f>
        <v>30.7</v>
      </c>
      <c r="BI77" s="20">
        <f>BI81</f>
        <v>30.6</v>
      </c>
      <c r="BJ77" s="20">
        <f t="shared" ref="BJ77:BS77" si="72">BJ81</f>
        <v>31.1</v>
      </c>
      <c r="BK77" s="20">
        <f t="shared" si="72"/>
        <v>10031.1</v>
      </c>
      <c r="BL77" s="20">
        <f t="shared" si="72"/>
        <v>10031.1</v>
      </c>
      <c r="BM77" s="20">
        <f t="shared" si="72"/>
        <v>10031.1</v>
      </c>
      <c r="BN77" s="20">
        <f t="shared" si="72"/>
        <v>10031.1</v>
      </c>
      <c r="BO77" s="20">
        <f t="shared" si="72"/>
        <v>10031.1</v>
      </c>
      <c r="BP77" s="20">
        <f t="shared" si="72"/>
        <v>37.1</v>
      </c>
      <c r="BQ77" s="20">
        <f t="shared" si="72"/>
        <v>37.299999999999997</v>
      </c>
      <c r="BR77" s="20">
        <f t="shared" si="72"/>
        <v>37.1</v>
      </c>
      <c r="BS77" s="20">
        <f t="shared" si="72"/>
        <v>37.1</v>
      </c>
      <c r="BT77" s="20">
        <f>BT78+BT81</f>
        <v>15109.1</v>
      </c>
      <c r="BU77" s="20">
        <f>BU78+BU81</f>
        <v>14124.3</v>
      </c>
      <c r="BV77" s="20">
        <f>BV78+BV81</f>
        <v>7206.8</v>
      </c>
      <c r="BW77" s="20">
        <f>BW78+BW81</f>
        <v>14124.3</v>
      </c>
      <c r="BX77" s="24">
        <f t="shared" si="61"/>
        <v>14087.199999999999</v>
      </c>
      <c r="BY77" s="25">
        <f t="shared" si="62"/>
        <v>38070.88948787062</v>
      </c>
      <c r="BZ77" s="20">
        <f>BZ78+BZ81</f>
        <v>14124.3</v>
      </c>
      <c r="CA77" s="20">
        <f>CA81+CA78</f>
        <v>10740.51204</v>
      </c>
      <c r="CB77" s="20">
        <f>CB81+CB78</f>
        <v>10740.51204</v>
      </c>
      <c r="CC77" s="28">
        <f t="shared" si="58"/>
        <v>28950.167223719676</v>
      </c>
      <c r="CD77" s="28">
        <f t="shared" si="59"/>
        <v>76.042791784371616</v>
      </c>
      <c r="CE77" s="28">
        <f t="shared" si="60"/>
        <v>107.07212608786674</v>
      </c>
      <c r="CF77" s="20">
        <f>CF81</f>
        <v>85.2</v>
      </c>
      <c r="CG77" s="20">
        <f>CG81+CG78</f>
        <v>8085.2</v>
      </c>
      <c r="CH77" s="20">
        <f t="shared" si="63"/>
        <v>8000</v>
      </c>
      <c r="CI77" s="20">
        <f t="shared" si="64"/>
        <v>9489.6713615023473</v>
      </c>
      <c r="CJ77" s="20">
        <f>CJ81</f>
        <v>85.2</v>
      </c>
      <c r="CK77" s="20">
        <f>CK81</f>
        <v>85.2</v>
      </c>
    </row>
    <row r="78" spans="1:90" ht="22.5" hidden="1" customHeight="1">
      <c r="A78" s="10" t="s">
        <v>217</v>
      </c>
      <c r="B78" s="40" t="s">
        <v>218</v>
      </c>
      <c r="C78" s="28">
        <v>4493.0200000000004</v>
      </c>
      <c r="D78" s="28">
        <v>0</v>
      </c>
      <c r="E78" s="28">
        <v>5580.2</v>
      </c>
      <c r="F78" s="28">
        <v>5580.2</v>
      </c>
      <c r="G78" s="28">
        <v>3176.8</v>
      </c>
      <c r="H78" s="28">
        <v>499.6</v>
      </c>
      <c r="I78" s="28">
        <v>499.62</v>
      </c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0"/>
      <c r="BK78" s="23"/>
      <c r="BL78" s="28"/>
      <c r="BM78" s="28"/>
      <c r="BN78" s="28"/>
      <c r="BO78" s="28"/>
      <c r="BP78" s="28"/>
      <c r="BQ78" s="28"/>
      <c r="BR78" s="28"/>
      <c r="BS78" s="23"/>
      <c r="BT78" s="28">
        <v>8172</v>
      </c>
      <c r="BU78" s="28">
        <v>7187.2</v>
      </c>
      <c r="BV78" s="28">
        <f>6827.8+359.4</f>
        <v>7187.2</v>
      </c>
      <c r="BW78" s="28">
        <v>7187.2</v>
      </c>
      <c r="BX78" s="24">
        <f t="shared" si="61"/>
        <v>7187.2</v>
      </c>
      <c r="BY78" s="25" t="e">
        <f t="shared" si="62"/>
        <v>#DIV/0!</v>
      </c>
      <c r="BZ78" s="28">
        <v>7187.2</v>
      </c>
      <c r="CA78" s="28">
        <v>7187.1844099999998</v>
      </c>
      <c r="CB78" s="28">
        <v>7187.1844099999998</v>
      </c>
      <c r="CC78" s="28" t="e">
        <f t="shared" si="58"/>
        <v>#DIV/0!</v>
      </c>
      <c r="CD78" s="28">
        <f t="shared" si="59"/>
        <v>99.999783086598399</v>
      </c>
      <c r="CE78" s="28" t="e">
        <f t="shared" si="60"/>
        <v>#DIV/0!</v>
      </c>
      <c r="CF78" s="28"/>
      <c r="CG78" s="28">
        <f>7600+400</f>
        <v>8000</v>
      </c>
      <c r="CH78" s="20">
        <f t="shared" si="63"/>
        <v>8000</v>
      </c>
      <c r="CI78" s="20" t="e">
        <f t="shared" si="64"/>
        <v>#DIV/0!</v>
      </c>
      <c r="CJ78" s="28"/>
      <c r="CK78" s="28"/>
    </row>
    <row r="79" spans="1:90" ht="24" hidden="1" customHeight="1">
      <c r="A79" s="10" t="s">
        <v>219</v>
      </c>
      <c r="B79" s="40" t="s">
        <v>220</v>
      </c>
      <c r="C79" s="28">
        <v>1390.45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0"/>
      <c r="BK79" s="23"/>
      <c r="BL79" s="28"/>
      <c r="BM79" s="28"/>
      <c r="BN79" s="28"/>
      <c r="BO79" s="28"/>
      <c r="BP79" s="28"/>
      <c r="BQ79" s="28"/>
      <c r="BR79" s="28"/>
      <c r="BS79" s="23"/>
      <c r="BT79" s="28"/>
      <c r="BU79" s="28"/>
      <c r="BV79" s="28"/>
      <c r="BW79" s="28"/>
      <c r="BX79" s="24">
        <f t="shared" si="61"/>
        <v>0</v>
      </c>
      <c r="BY79" s="25" t="e">
        <f t="shared" si="62"/>
        <v>#DIV/0!</v>
      </c>
      <c r="BZ79" s="28"/>
      <c r="CA79" s="28"/>
      <c r="CB79" s="28"/>
      <c r="CC79" s="28" t="e">
        <f t="shared" si="58"/>
        <v>#DIV/0!</v>
      </c>
      <c r="CD79" s="28" t="e">
        <f t="shared" si="59"/>
        <v>#DIV/0!</v>
      </c>
      <c r="CE79" s="28" t="e">
        <f t="shared" si="60"/>
        <v>#DIV/0!</v>
      </c>
      <c r="CF79" s="28"/>
      <c r="CG79" s="28"/>
      <c r="CH79" s="20">
        <f t="shared" si="63"/>
        <v>0</v>
      </c>
      <c r="CI79" s="20" t="e">
        <f t="shared" si="64"/>
        <v>#DIV/0!</v>
      </c>
      <c r="CJ79" s="28"/>
      <c r="CK79" s="28"/>
    </row>
    <row r="80" spans="1:90" ht="23.25" hidden="1" customHeight="1">
      <c r="A80" s="10" t="s">
        <v>221</v>
      </c>
      <c r="B80" s="40" t="s">
        <v>222</v>
      </c>
      <c r="C80" s="28">
        <v>0</v>
      </c>
      <c r="D80" s="28">
        <v>0</v>
      </c>
      <c r="E80" s="28">
        <v>920.7</v>
      </c>
      <c r="F80" s="28">
        <v>891</v>
      </c>
      <c r="G80" s="28">
        <v>0</v>
      </c>
      <c r="H80" s="28">
        <v>0</v>
      </c>
      <c r="I80" s="28">
        <v>0</v>
      </c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0"/>
      <c r="BK80" s="23"/>
      <c r="BL80" s="28"/>
      <c r="BM80" s="28"/>
      <c r="BN80" s="28"/>
      <c r="BO80" s="28"/>
      <c r="BP80" s="28"/>
      <c r="BQ80" s="28"/>
      <c r="BR80" s="28"/>
      <c r="BS80" s="23"/>
      <c r="BT80" s="28"/>
      <c r="BU80" s="28"/>
      <c r="BV80" s="28"/>
      <c r="BW80" s="28"/>
      <c r="BX80" s="24">
        <f t="shared" si="61"/>
        <v>0</v>
      </c>
      <c r="BY80" s="25" t="e">
        <f t="shared" si="62"/>
        <v>#DIV/0!</v>
      </c>
      <c r="BZ80" s="28"/>
      <c r="CA80" s="28"/>
      <c r="CB80" s="28"/>
      <c r="CC80" s="28" t="e">
        <f t="shared" si="58"/>
        <v>#DIV/0!</v>
      </c>
      <c r="CD80" s="28" t="e">
        <f t="shared" si="59"/>
        <v>#DIV/0!</v>
      </c>
      <c r="CE80" s="28" t="e">
        <f t="shared" si="60"/>
        <v>#DIV/0!</v>
      </c>
      <c r="CF80" s="28"/>
      <c r="CG80" s="28"/>
      <c r="CH80" s="20">
        <f t="shared" si="63"/>
        <v>0</v>
      </c>
      <c r="CI80" s="20" t="e">
        <f t="shared" si="64"/>
        <v>#DIV/0!</v>
      </c>
      <c r="CJ80" s="28"/>
      <c r="CK80" s="28"/>
    </row>
    <row r="81" spans="1:89" ht="22.5" hidden="1" customHeight="1">
      <c r="A81" s="10" t="s">
        <v>223</v>
      </c>
      <c r="B81" s="40" t="s">
        <v>224</v>
      </c>
      <c r="C81" s="28">
        <v>82</v>
      </c>
      <c r="D81" s="28">
        <v>0</v>
      </c>
      <c r="E81" s="28">
        <v>9040.4</v>
      </c>
      <c r="F81" s="28">
        <v>5835.01</v>
      </c>
      <c r="G81" s="28">
        <v>698.1</v>
      </c>
      <c r="H81" s="28">
        <v>8006</v>
      </c>
      <c r="I81" s="28">
        <v>8006</v>
      </c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>
        <v>12078.8</v>
      </c>
      <c r="AL81" s="28">
        <v>12078.83</v>
      </c>
      <c r="AM81" s="28">
        <v>12078.83</v>
      </c>
      <c r="AN81" s="28">
        <v>60</v>
      </c>
      <c r="AO81" s="28">
        <v>60</v>
      </c>
      <c r="AP81" s="28">
        <v>60</v>
      </c>
      <c r="AQ81" s="28"/>
      <c r="AR81" s="28"/>
      <c r="AS81" s="28"/>
      <c r="AT81" s="28">
        <v>60</v>
      </c>
      <c r="AU81" s="28">
        <v>60</v>
      </c>
      <c r="AV81" s="28">
        <v>60</v>
      </c>
      <c r="AW81" s="28">
        <v>60</v>
      </c>
      <c r="AX81" s="28">
        <v>58.4</v>
      </c>
      <c r="AY81" s="28">
        <v>58.5</v>
      </c>
      <c r="AZ81" s="28">
        <v>58.4</v>
      </c>
      <c r="BA81" s="28">
        <v>58.4</v>
      </c>
      <c r="BB81" s="28">
        <v>58.4</v>
      </c>
      <c r="BC81" s="28">
        <v>58.4</v>
      </c>
      <c r="BD81" s="28">
        <v>58.4</v>
      </c>
      <c r="BE81" s="28">
        <v>58.4</v>
      </c>
      <c r="BF81" s="28">
        <v>58.4</v>
      </c>
      <c r="BG81" s="28">
        <v>31.1</v>
      </c>
      <c r="BH81" s="28">
        <v>30.7</v>
      </c>
      <c r="BI81" s="28">
        <v>30.6</v>
      </c>
      <c r="BJ81" s="20">
        <v>31.1</v>
      </c>
      <c r="BK81" s="23">
        <f>BK83+BK88</f>
        <v>10031.1</v>
      </c>
      <c r="BL81" s="28">
        <v>10031.1</v>
      </c>
      <c r="BM81" s="28">
        <v>10031.1</v>
      </c>
      <c r="BN81" s="28">
        <v>10031.1</v>
      </c>
      <c r="BO81" s="28">
        <v>10031.1</v>
      </c>
      <c r="BP81" s="28">
        <v>37.1</v>
      </c>
      <c r="BQ81" s="28">
        <v>37.299999999999997</v>
      </c>
      <c r="BR81" s="28">
        <v>37.1</v>
      </c>
      <c r="BS81" s="23">
        <v>37.1</v>
      </c>
      <c r="BT81" s="28">
        <f>BT83+BT88</f>
        <v>6937.1</v>
      </c>
      <c r="BU81" s="28">
        <f>BU83+BU88</f>
        <v>6937.1</v>
      </c>
      <c r="BV81" s="28">
        <v>19.600000000000001</v>
      </c>
      <c r="BW81" s="28">
        <f>BW83+BW88</f>
        <v>6937.1</v>
      </c>
      <c r="BX81" s="24">
        <f t="shared" si="61"/>
        <v>6900</v>
      </c>
      <c r="BY81" s="25">
        <f t="shared" si="62"/>
        <v>18698.382749326145</v>
      </c>
      <c r="BZ81" s="28">
        <f>BZ83+BZ88</f>
        <v>6937.1</v>
      </c>
      <c r="CA81" s="28">
        <v>3553.3276300000002</v>
      </c>
      <c r="CB81" s="28">
        <v>3553.3276300000002</v>
      </c>
      <c r="CC81" s="28">
        <f t="shared" si="58"/>
        <v>9577.7025067385457</v>
      </c>
      <c r="CD81" s="28">
        <f t="shared" si="59"/>
        <v>51.222090354759196</v>
      </c>
      <c r="CE81" s="28">
        <f t="shared" si="60"/>
        <v>35.423110426573359</v>
      </c>
      <c r="CF81" s="28">
        <v>85.2</v>
      </c>
      <c r="CG81" s="28">
        <v>85.2</v>
      </c>
      <c r="CH81" s="20">
        <f t="shared" si="63"/>
        <v>0</v>
      </c>
      <c r="CI81" s="20">
        <f t="shared" si="64"/>
        <v>100</v>
      </c>
      <c r="CJ81" s="28">
        <v>85.2</v>
      </c>
      <c r="CK81" s="28">
        <v>85.2</v>
      </c>
    </row>
    <row r="82" spans="1:89" ht="22.5" hidden="1" customHeight="1">
      <c r="A82" s="10"/>
      <c r="B82" s="40" t="s">
        <v>225</v>
      </c>
      <c r="C82" s="28"/>
      <c r="D82" s="28"/>
      <c r="E82" s="28"/>
      <c r="F82" s="28">
        <v>3826.57</v>
      </c>
      <c r="G82" s="28"/>
      <c r="H82" s="28">
        <v>6007.9</v>
      </c>
      <c r="I82" s="28">
        <v>6007.9</v>
      </c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>
        <v>12019.8</v>
      </c>
      <c r="AL82" s="28">
        <v>12019.83</v>
      </c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0"/>
      <c r="BK82" s="23"/>
      <c r="BL82" s="28"/>
      <c r="BM82" s="28"/>
      <c r="BN82" s="28"/>
      <c r="BO82" s="28"/>
      <c r="BP82" s="28"/>
      <c r="BQ82" s="28"/>
      <c r="BR82" s="28"/>
      <c r="BS82" s="23"/>
      <c r="BT82" s="28"/>
      <c r="BU82" s="28"/>
      <c r="BV82" s="28"/>
      <c r="BW82" s="28"/>
      <c r="BX82" s="24">
        <f t="shared" si="61"/>
        <v>0</v>
      </c>
      <c r="BY82" s="25" t="e">
        <f t="shared" si="62"/>
        <v>#DIV/0!</v>
      </c>
      <c r="BZ82" s="28"/>
      <c r="CA82" s="28"/>
      <c r="CB82" s="28"/>
      <c r="CC82" s="28" t="e">
        <f t="shared" si="58"/>
        <v>#DIV/0!</v>
      </c>
      <c r="CD82" s="28" t="e">
        <f t="shared" si="59"/>
        <v>#DIV/0!</v>
      </c>
      <c r="CE82" s="28" t="e">
        <f t="shared" si="60"/>
        <v>#DIV/0!</v>
      </c>
      <c r="CF82" s="28"/>
      <c r="CG82" s="28"/>
      <c r="CH82" s="20">
        <f t="shared" si="63"/>
        <v>0</v>
      </c>
      <c r="CI82" s="20" t="e">
        <f t="shared" si="64"/>
        <v>#DIV/0!</v>
      </c>
      <c r="CJ82" s="28"/>
      <c r="CK82" s="28"/>
    </row>
    <row r="83" spans="1:89" ht="22.5" hidden="1" customHeight="1">
      <c r="A83" s="10"/>
      <c r="B83" s="40" t="s">
        <v>226</v>
      </c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>
        <v>59</v>
      </c>
      <c r="AL83" s="28">
        <v>59</v>
      </c>
      <c r="AM83" s="28"/>
      <c r="AN83" s="28">
        <v>60</v>
      </c>
      <c r="AO83" s="28">
        <v>60</v>
      </c>
      <c r="AP83" s="28">
        <v>60</v>
      </c>
      <c r="AQ83" s="28"/>
      <c r="AR83" s="28"/>
      <c r="AS83" s="28"/>
      <c r="AT83" s="28">
        <v>60</v>
      </c>
      <c r="AU83" s="28">
        <v>60</v>
      </c>
      <c r="AV83" s="28"/>
      <c r="AW83" s="28"/>
      <c r="AX83" s="28">
        <v>58.4</v>
      </c>
      <c r="AY83" s="28">
        <v>58.5</v>
      </c>
      <c r="AZ83" s="28">
        <v>58.4</v>
      </c>
      <c r="BA83" s="28">
        <v>58.4</v>
      </c>
      <c r="BB83" s="28">
        <v>58.4</v>
      </c>
      <c r="BC83" s="28">
        <v>58.4</v>
      </c>
      <c r="BD83" s="28">
        <v>58.4</v>
      </c>
      <c r="BE83" s="28">
        <v>58.4</v>
      </c>
      <c r="BF83" s="28">
        <v>58.4</v>
      </c>
      <c r="BG83" s="28">
        <v>31.1</v>
      </c>
      <c r="BH83" s="28">
        <v>30.7</v>
      </c>
      <c r="BI83" s="28">
        <v>30.6</v>
      </c>
      <c r="BJ83" s="20">
        <v>31.1</v>
      </c>
      <c r="BK83" s="23">
        <v>31.1</v>
      </c>
      <c r="BL83" s="28">
        <v>31.1</v>
      </c>
      <c r="BM83" s="28">
        <v>31.1</v>
      </c>
      <c r="BN83" s="28">
        <v>31.1</v>
      </c>
      <c r="BO83" s="28">
        <v>31.1</v>
      </c>
      <c r="BP83" s="28">
        <v>37.1</v>
      </c>
      <c r="BQ83" s="28">
        <v>37.299999999999997</v>
      </c>
      <c r="BR83" s="28">
        <v>37.1</v>
      </c>
      <c r="BS83" s="23">
        <v>37.1</v>
      </c>
      <c r="BT83" s="28">
        <v>37.1</v>
      </c>
      <c r="BU83" s="28">
        <v>37.1</v>
      </c>
      <c r="BV83" s="28">
        <v>19.600000000000001</v>
      </c>
      <c r="BW83" s="28">
        <v>37.1</v>
      </c>
      <c r="BX83" s="24">
        <f t="shared" si="61"/>
        <v>0</v>
      </c>
      <c r="BY83" s="25">
        <f t="shared" si="62"/>
        <v>100</v>
      </c>
      <c r="BZ83" s="28">
        <v>37.1</v>
      </c>
      <c r="CA83" s="28">
        <v>31.1</v>
      </c>
      <c r="CB83" s="28">
        <v>31.1</v>
      </c>
      <c r="CC83" s="28">
        <f t="shared" si="58"/>
        <v>83.827493261455515</v>
      </c>
      <c r="CD83" s="28">
        <f t="shared" si="59"/>
        <v>83.827493261455515</v>
      </c>
      <c r="CE83" s="28">
        <f t="shared" si="60"/>
        <v>100</v>
      </c>
      <c r="CF83" s="28">
        <v>85.2</v>
      </c>
      <c r="CG83" s="28">
        <v>85.2</v>
      </c>
      <c r="CH83" s="20">
        <f t="shared" si="63"/>
        <v>0</v>
      </c>
      <c r="CI83" s="20">
        <f t="shared" si="64"/>
        <v>100</v>
      </c>
      <c r="CJ83" s="28">
        <v>85.2</v>
      </c>
      <c r="CK83" s="28">
        <v>85.2</v>
      </c>
    </row>
    <row r="84" spans="1:89" ht="22.5" hidden="1" customHeight="1">
      <c r="A84" s="10"/>
      <c r="B84" s="40" t="s">
        <v>227</v>
      </c>
      <c r="C84" s="28"/>
      <c r="D84" s="28"/>
      <c r="E84" s="28"/>
      <c r="F84" s="28">
        <f>1114.24</f>
        <v>1114.24</v>
      </c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0"/>
      <c r="BK84" s="23"/>
      <c r="BL84" s="28"/>
      <c r="BM84" s="28"/>
      <c r="BN84" s="28"/>
      <c r="BO84" s="28"/>
      <c r="BP84" s="28"/>
      <c r="BQ84" s="28"/>
      <c r="BR84" s="28"/>
      <c r="BS84" s="23"/>
      <c r="BT84" s="28"/>
      <c r="BU84" s="28"/>
      <c r="BV84" s="28"/>
      <c r="BW84" s="28"/>
      <c r="BX84" s="24">
        <f t="shared" si="61"/>
        <v>0</v>
      </c>
      <c r="BY84" s="25" t="e">
        <f t="shared" si="62"/>
        <v>#DIV/0!</v>
      </c>
      <c r="BZ84" s="28"/>
      <c r="CA84" s="28"/>
      <c r="CB84" s="28"/>
      <c r="CC84" s="28" t="e">
        <f t="shared" si="58"/>
        <v>#DIV/0!</v>
      </c>
      <c r="CD84" s="28" t="e">
        <f t="shared" si="59"/>
        <v>#DIV/0!</v>
      </c>
      <c r="CE84" s="28" t="e">
        <f t="shared" si="60"/>
        <v>#DIV/0!</v>
      </c>
      <c r="CF84" s="28"/>
      <c r="CG84" s="28"/>
      <c r="CH84" s="20">
        <f t="shared" si="63"/>
        <v>0</v>
      </c>
      <c r="CI84" s="20" t="e">
        <f t="shared" si="64"/>
        <v>#DIV/0!</v>
      </c>
      <c r="CJ84" s="28"/>
      <c r="CK84" s="28"/>
    </row>
    <row r="85" spans="1:89" ht="22.5" hidden="1" customHeight="1">
      <c r="A85" s="10"/>
      <c r="B85" s="40" t="s">
        <v>228</v>
      </c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0"/>
      <c r="BK85" s="23"/>
      <c r="BL85" s="28"/>
      <c r="BM85" s="28"/>
      <c r="BN85" s="28"/>
      <c r="BO85" s="28"/>
      <c r="BP85" s="28"/>
      <c r="BQ85" s="28"/>
      <c r="BR85" s="28"/>
      <c r="BS85" s="23"/>
      <c r="BT85" s="28"/>
      <c r="BU85" s="28"/>
      <c r="BV85" s="28"/>
      <c r="BW85" s="28"/>
      <c r="BX85" s="24">
        <f t="shared" si="61"/>
        <v>0</v>
      </c>
      <c r="BY85" s="25" t="e">
        <f t="shared" si="62"/>
        <v>#DIV/0!</v>
      </c>
      <c r="BZ85" s="28"/>
      <c r="CA85" s="28"/>
      <c r="CB85" s="28"/>
      <c r="CC85" s="28" t="e">
        <f t="shared" si="58"/>
        <v>#DIV/0!</v>
      </c>
      <c r="CD85" s="28" t="e">
        <f t="shared" si="59"/>
        <v>#DIV/0!</v>
      </c>
      <c r="CE85" s="28" t="e">
        <f t="shared" si="60"/>
        <v>#DIV/0!</v>
      </c>
      <c r="CF85" s="28"/>
      <c r="CG85" s="28"/>
      <c r="CH85" s="20">
        <f t="shared" si="63"/>
        <v>0</v>
      </c>
      <c r="CI85" s="20" t="e">
        <f t="shared" si="64"/>
        <v>#DIV/0!</v>
      </c>
      <c r="CJ85" s="28"/>
      <c r="CK85" s="28"/>
    </row>
    <row r="86" spans="1:89" ht="22.5" hidden="1" customHeight="1">
      <c r="A86" s="10"/>
      <c r="B86" s="40" t="s">
        <v>229</v>
      </c>
      <c r="C86" s="28"/>
      <c r="D86" s="28"/>
      <c r="E86" s="28"/>
      <c r="F86" s="28">
        <v>615.6</v>
      </c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0"/>
      <c r="BK86" s="23"/>
      <c r="BL86" s="28"/>
      <c r="BM86" s="28"/>
      <c r="BN86" s="28"/>
      <c r="BO86" s="28"/>
      <c r="BP86" s="28"/>
      <c r="BQ86" s="28"/>
      <c r="BR86" s="28"/>
      <c r="BS86" s="23"/>
      <c r="BT86" s="28"/>
      <c r="BU86" s="28"/>
      <c r="BV86" s="28"/>
      <c r="BW86" s="28"/>
      <c r="BX86" s="24">
        <f t="shared" si="61"/>
        <v>0</v>
      </c>
      <c r="BY86" s="25" t="e">
        <f t="shared" si="62"/>
        <v>#DIV/0!</v>
      </c>
      <c r="BZ86" s="28"/>
      <c r="CA86" s="28"/>
      <c r="CB86" s="28"/>
      <c r="CC86" s="28" t="e">
        <f t="shared" si="58"/>
        <v>#DIV/0!</v>
      </c>
      <c r="CD86" s="28" t="e">
        <f t="shared" si="59"/>
        <v>#DIV/0!</v>
      </c>
      <c r="CE86" s="28" t="e">
        <f t="shared" si="60"/>
        <v>#DIV/0!</v>
      </c>
      <c r="CF86" s="28"/>
      <c r="CG86" s="28"/>
      <c r="CH86" s="20">
        <f t="shared" si="63"/>
        <v>0</v>
      </c>
      <c r="CI86" s="20" t="e">
        <f t="shared" si="64"/>
        <v>#DIV/0!</v>
      </c>
      <c r="CJ86" s="28"/>
      <c r="CK86" s="28"/>
    </row>
    <row r="87" spans="1:89" ht="22.5" hidden="1" customHeight="1">
      <c r="A87" s="10"/>
      <c r="B87" s="40" t="s">
        <v>230</v>
      </c>
      <c r="C87" s="28"/>
      <c r="D87" s="28"/>
      <c r="E87" s="28"/>
      <c r="F87" s="28">
        <v>278.60000000000002</v>
      </c>
      <c r="G87" s="28">
        <v>698.1</v>
      </c>
      <c r="H87" s="28">
        <v>698.1</v>
      </c>
      <c r="I87" s="28">
        <v>698.1</v>
      </c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0"/>
      <c r="BK87" s="23"/>
      <c r="BL87" s="28"/>
      <c r="BM87" s="28"/>
      <c r="BN87" s="28"/>
      <c r="BO87" s="28"/>
      <c r="BP87" s="28"/>
      <c r="BQ87" s="28"/>
      <c r="BR87" s="28"/>
      <c r="BS87" s="23"/>
      <c r="BT87" s="28"/>
      <c r="BU87" s="28"/>
      <c r="BV87" s="28"/>
      <c r="BW87" s="28"/>
      <c r="BX87" s="24">
        <f t="shared" si="61"/>
        <v>0</v>
      </c>
      <c r="BY87" s="25" t="e">
        <f t="shared" si="62"/>
        <v>#DIV/0!</v>
      </c>
      <c r="BZ87" s="28"/>
      <c r="CA87" s="28"/>
      <c r="CB87" s="28"/>
      <c r="CC87" s="28" t="e">
        <f t="shared" si="58"/>
        <v>#DIV/0!</v>
      </c>
      <c r="CD87" s="28" t="e">
        <f t="shared" si="59"/>
        <v>#DIV/0!</v>
      </c>
      <c r="CE87" s="28" t="e">
        <f t="shared" si="60"/>
        <v>#DIV/0!</v>
      </c>
      <c r="CF87" s="28"/>
      <c r="CG87" s="28"/>
      <c r="CH87" s="20">
        <f t="shared" si="63"/>
        <v>0</v>
      </c>
      <c r="CI87" s="20" t="e">
        <f t="shared" si="64"/>
        <v>#DIV/0!</v>
      </c>
      <c r="CJ87" s="28"/>
      <c r="CK87" s="28"/>
    </row>
    <row r="88" spans="1:89" ht="22.5" hidden="1" customHeight="1">
      <c r="A88" s="10"/>
      <c r="B88" s="40" t="s">
        <v>231</v>
      </c>
      <c r="C88" s="28"/>
      <c r="D88" s="28"/>
      <c r="E88" s="28"/>
      <c r="F88" s="28"/>
      <c r="G88" s="28"/>
      <c r="H88" s="28">
        <v>1300</v>
      </c>
      <c r="I88" s="28">
        <v>1300</v>
      </c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0"/>
      <c r="BK88" s="23">
        <v>10000</v>
      </c>
      <c r="BL88" s="28"/>
      <c r="BM88" s="28">
        <f>10000</f>
        <v>10000</v>
      </c>
      <c r="BN88" s="28"/>
      <c r="BO88" s="28"/>
      <c r="BP88" s="28"/>
      <c r="BQ88" s="28"/>
      <c r="BR88" s="28"/>
      <c r="BS88" s="23"/>
      <c r="BT88" s="28">
        <v>6900</v>
      </c>
      <c r="BU88" s="28">
        <v>6900</v>
      </c>
      <c r="BV88" s="28">
        <v>0</v>
      </c>
      <c r="BW88" s="28">
        <v>6900</v>
      </c>
      <c r="BX88" s="24">
        <f t="shared" si="61"/>
        <v>6900</v>
      </c>
      <c r="BY88" s="25" t="e">
        <f t="shared" si="62"/>
        <v>#DIV/0!</v>
      </c>
      <c r="BZ88" s="28">
        <v>6900</v>
      </c>
      <c r="CA88" s="28"/>
      <c r="CB88" s="28"/>
      <c r="CC88" s="28" t="e">
        <f t="shared" si="58"/>
        <v>#DIV/0!</v>
      </c>
      <c r="CD88" s="28">
        <f t="shared" si="59"/>
        <v>0</v>
      </c>
      <c r="CE88" s="28" t="e">
        <f t="shared" si="60"/>
        <v>#DIV/0!</v>
      </c>
      <c r="CF88" s="28"/>
      <c r="CG88" s="28"/>
      <c r="CH88" s="20">
        <f t="shared" si="63"/>
        <v>0</v>
      </c>
      <c r="CI88" s="20" t="e">
        <f t="shared" si="64"/>
        <v>#DIV/0!</v>
      </c>
      <c r="CJ88" s="28"/>
      <c r="CK88" s="28"/>
    </row>
    <row r="89" spans="1:89" ht="31.5" customHeight="1">
      <c r="A89" s="18" t="s">
        <v>232</v>
      </c>
      <c r="B89" s="19" t="s">
        <v>233</v>
      </c>
      <c r="C89" s="20">
        <f t="shared" ref="C89:Z89" si="73">C91+C92</f>
        <v>595.70000000000005</v>
      </c>
      <c r="D89" s="20">
        <f t="shared" si="73"/>
        <v>597.9</v>
      </c>
      <c r="E89" s="20">
        <f t="shared" si="73"/>
        <v>597.9</v>
      </c>
      <c r="F89" s="20">
        <f t="shared" si="73"/>
        <v>597.9</v>
      </c>
      <c r="G89" s="20">
        <f t="shared" si="73"/>
        <v>367</v>
      </c>
      <c r="H89" s="20">
        <f t="shared" si="73"/>
        <v>512.4</v>
      </c>
      <c r="I89" s="20">
        <f t="shared" si="73"/>
        <v>512.34440999999993</v>
      </c>
      <c r="J89" s="20">
        <f t="shared" si="73"/>
        <v>879</v>
      </c>
      <c r="K89" s="20">
        <f t="shared" si="73"/>
        <v>879</v>
      </c>
      <c r="L89" s="20">
        <f t="shared" si="73"/>
        <v>879</v>
      </c>
      <c r="M89" s="20">
        <f t="shared" si="73"/>
        <v>879</v>
      </c>
      <c r="N89" s="20">
        <f t="shared" si="73"/>
        <v>876</v>
      </c>
      <c r="O89" s="20">
        <f t="shared" si="73"/>
        <v>698.4</v>
      </c>
      <c r="P89" s="20">
        <f t="shared" si="73"/>
        <v>698.4</v>
      </c>
      <c r="Q89" s="20">
        <f t="shared" si="73"/>
        <v>698.4</v>
      </c>
      <c r="R89" s="20">
        <f t="shared" si="73"/>
        <v>889</v>
      </c>
      <c r="S89" s="20">
        <f t="shared" si="73"/>
        <v>653</v>
      </c>
      <c r="T89" s="20">
        <f t="shared" si="73"/>
        <v>653</v>
      </c>
      <c r="U89" s="20">
        <f t="shared" si="73"/>
        <v>653</v>
      </c>
      <c r="V89" s="20">
        <f t="shared" si="73"/>
        <v>475.2</v>
      </c>
      <c r="W89" s="20">
        <f t="shared" si="73"/>
        <v>475.2</v>
      </c>
      <c r="X89" s="20">
        <f t="shared" si="73"/>
        <v>475.2</v>
      </c>
      <c r="Y89" s="20">
        <f t="shared" si="73"/>
        <v>475.2</v>
      </c>
      <c r="Z89" s="20">
        <f t="shared" si="73"/>
        <v>493.8</v>
      </c>
      <c r="AA89" s="20">
        <f>AA91+AA92+AA90</f>
        <v>495.84000000000003</v>
      </c>
      <c r="AB89" s="20">
        <f>AB91+AB92+AB90</f>
        <v>495.84000000000003</v>
      </c>
      <c r="AC89" s="20">
        <f>AC91+AC92+AC90</f>
        <v>495.84000000000003</v>
      </c>
      <c r="AD89" s="20">
        <f>AD91+AD92</f>
        <v>514.9</v>
      </c>
      <c r="AE89" s="20">
        <f>AE91+AE92+AE90</f>
        <v>548.6</v>
      </c>
      <c r="AF89" s="20">
        <f>AF91+AF92+AF90</f>
        <v>548.6</v>
      </c>
      <c r="AG89" s="20">
        <f>AG91+AG92+AG90</f>
        <v>548.6</v>
      </c>
      <c r="AH89" s="20">
        <f>AH91+AH92</f>
        <v>547.9</v>
      </c>
      <c r="AI89" s="20">
        <f>AI91+AI92</f>
        <v>552</v>
      </c>
      <c r="AJ89" s="20">
        <f>AJ91+AJ92</f>
        <v>565.1</v>
      </c>
      <c r="AK89" s="20">
        <f>AK91+AK92+AK90</f>
        <v>593.1</v>
      </c>
      <c r="AL89" s="20">
        <f>AL91+AL92+AL90</f>
        <v>593.09299999999996</v>
      </c>
      <c r="AM89" s="20">
        <f>AM91+AM92+AM90</f>
        <v>593.09299999999996</v>
      </c>
      <c r="AN89" s="20">
        <f>AN91+AN92</f>
        <v>567</v>
      </c>
      <c r="AO89" s="20">
        <f>AO91+AO92</f>
        <v>567</v>
      </c>
      <c r="AP89" s="20">
        <f>AP91+AP92</f>
        <v>567</v>
      </c>
      <c r="AQ89" s="20">
        <v>645.1</v>
      </c>
      <c r="AR89" s="20">
        <v>645.1</v>
      </c>
      <c r="AS89" s="20">
        <v>702.8</v>
      </c>
      <c r="AT89" s="20">
        <f>AT91+AT92+AT90</f>
        <v>702.80000000000007</v>
      </c>
      <c r="AU89" s="20">
        <f>AU91+AU92+AU90</f>
        <v>702.80000000000007</v>
      </c>
      <c r="AV89" s="20">
        <f>AV91+AV92+AV90</f>
        <v>702.77700000000004</v>
      </c>
      <c r="AW89" s="20">
        <f>AW91+AW92+AW90</f>
        <v>702.77700000000004</v>
      </c>
      <c r="AX89" s="20">
        <f>AX91+AX92</f>
        <v>597.70000000000005</v>
      </c>
      <c r="AY89" s="20">
        <f>AY91+AY92</f>
        <v>614.4</v>
      </c>
      <c r="AZ89" s="20">
        <f>AZ91+AZ92</f>
        <v>632.29999999999995</v>
      </c>
      <c r="BA89" s="20">
        <f>BA91+BA92</f>
        <v>597.70000000000005</v>
      </c>
      <c r="BB89" s="20">
        <f>BB91+BB92</f>
        <v>597.70000000000005</v>
      </c>
      <c r="BC89" s="20">
        <v>653</v>
      </c>
      <c r="BD89" s="20">
        <v>653</v>
      </c>
      <c r="BE89" s="20">
        <f>BE91+BE92+BE90</f>
        <v>653.01150999999993</v>
      </c>
      <c r="BF89" s="20">
        <f>BF91+BF92+BF90</f>
        <v>653.01150999999993</v>
      </c>
      <c r="BG89" s="20">
        <f>BG91+BG92</f>
        <v>711.5</v>
      </c>
      <c r="BH89" s="20">
        <f>BH91+BH92</f>
        <v>739.3</v>
      </c>
      <c r="BI89" s="20">
        <f>BI91+BI92</f>
        <v>761.9</v>
      </c>
      <c r="BJ89" s="20">
        <f>BJ91+BJ92</f>
        <v>711.5</v>
      </c>
      <c r="BK89" s="20">
        <f>BK91+BK92</f>
        <v>725.80000000000007</v>
      </c>
      <c r="BL89" s="20">
        <f>BL91+BL92+BL90</f>
        <v>1048.2</v>
      </c>
      <c r="BM89" s="20">
        <v>1025</v>
      </c>
      <c r="BN89" s="20">
        <f>BN91+BN92+BN90</f>
        <v>1048.1578400000001</v>
      </c>
      <c r="BO89" s="20">
        <f>BO91+BO92+BO90</f>
        <v>1048.1578400000001</v>
      </c>
      <c r="BP89" s="20">
        <f>BP91+BP92</f>
        <v>844.1</v>
      </c>
      <c r="BQ89" s="20">
        <f>BQ91+BQ92</f>
        <v>917</v>
      </c>
      <c r="BR89" s="20">
        <f>BR91+BR92</f>
        <v>991.2</v>
      </c>
      <c r="BS89" s="20">
        <f>BS91+BS92</f>
        <v>844.1</v>
      </c>
      <c r="BT89" s="20">
        <f>BT90+BT91+BT92</f>
        <v>844.1</v>
      </c>
      <c r="BU89" s="20">
        <f>BU90+BU91+BU92</f>
        <v>844.1</v>
      </c>
      <c r="BV89" s="20">
        <f>BV90+BV91+BV92</f>
        <v>616.29999999999995</v>
      </c>
      <c r="BW89" s="20">
        <f>BW90+BW91+BW92</f>
        <v>844.1</v>
      </c>
      <c r="BX89" s="24">
        <f t="shared" si="61"/>
        <v>0</v>
      </c>
      <c r="BY89" s="25">
        <f t="shared" si="62"/>
        <v>100</v>
      </c>
      <c r="BZ89" s="20">
        <f>BZ90+BZ91+BZ92</f>
        <v>844.1</v>
      </c>
      <c r="CA89" s="20">
        <f>CA91+CA92+CA90</f>
        <v>844.1</v>
      </c>
      <c r="CB89" s="20">
        <f>CB91+CB92+CB90</f>
        <v>844.1</v>
      </c>
      <c r="CC89" s="28">
        <f t="shared" si="58"/>
        <v>100</v>
      </c>
      <c r="CD89" s="28">
        <f t="shared" si="59"/>
        <v>100</v>
      </c>
      <c r="CE89" s="28">
        <f t="shared" si="60"/>
        <v>80.531764185439854</v>
      </c>
      <c r="CF89" s="20">
        <f>CF91+CF92</f>
        <v>995.2</v>
      </c>
      <c r="CG89" s="20">
        <f>CG91+CG92</f>
        <v>995.2</v>
      </c>
      <c r="CH89" s="20">
        <f t="shared" si="63"/>
        <v>0</v>
      </c>
      <c r="CI89" s="20">
        <f t="shared" si="64"/>
        <v>100</v>
      </c>
      <c r="CJ89" s="20">
        <f>CJ91+CJ92</f>
        <v>1081.3</v>
      </c>
      <c r="CK89" s="20">
        <f>CK91+CK92</f>
        <v>1115.5999999999999</v>
      </c>
    </row>
    <row r="90" spans="1:89" s="26" customFormat="1" ht="22.5" hidden="1" customHeight="1">
      <c r="A90" s="10" t="s">
        <v>234</v>
      </c>
      <c r="B90" s="40" t="s">
        <v>235</v>
      </c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>
        <v>2.04</v>
      </c>
      <c r="AB90" s="28">
        <v>2.04</v>
      </c>
      <c r="AC90" s="28">
        <v>2.04</v>
      </c>
      <c r="AD90" s="28"/>
      <c r="AE90" s="28"/>
      <c r="AF90" s="28"/>
      <c r="AG90" s="28"/>
      <c r="AH90" s="28"/>
      <c r="AI90" s="28"/>
      <c r="AJ90" s="28"/>
      <c r="AK90" s="28">
        <v>2.2000000000000002</v>
      </c>
      <c r="AL90" s="28">
        <v>2.1930000000000001</v>
      </c>
      <c r="AM90" s="28">
        <v>2.1930000000000001</v>
      </c>
      <c r="AN90" s="28"/>
      <c r="AO90" s="28"/>
      <c r="AP90" s="28"/>
      <c r="AQ90" s="28"/>
      <c r="AR90" s="28"/>
      <c r="AS90" s="28"/>
      <c r="AT90" s="28">
        <v>78.099999999999994</v>
      </c>
      <c r="AU90" s="28">
        <v>78.099999999999994</v>
      </c>
      <c r="AV90" s="28">
        <v>78.08</v>
      </c>
      <c r="AW90" s="28">
        <v>78.08</v>
      </c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>
        <v>299.2</v>
      </c>
      <c r="BK90" s="29">
        <v>299.2</v>
      </c>
      <c r="BL90" s="28">
        <v>299.2</v>
      </c>
      <c r="BM90" s="28"/>
      <c r="BN90" s="28">
        <v>299.19983999999999</v>
      </c>
      <c r="BO90" s="28">
        <v>299.19983999999999</v>
      </c>
      <c r="BP90" s="28"/>
      <c r="BQ90" s="28"/>
      <c r="BR90" s="28"/>
      <c r="BS90" s="29"/>
      <c r="BT90" s="28"/>
      <c r="BU90" s="28"/>
      <c r="BV90" s="28"/>
      <c r="BW90" s="28"/>
      <c r="BX90" s="24">
        <f t="shared" si="61"/>
        <v>0</v>
      </c>
      <c r="BY90" s="25" t="e">
        <f t="shared" si="62"/>
        <v>#DIV/0!</v>
      </c>
      <c r="BZ90" s="28"/>
      <c r="CA90" s="28"/>
      <c r="CB90" s="28"/>
      <c r="CC90" s="28" t="e">
        <f t="shared" si="58"/>
        <v>#DIV/0!</v>
      </c>
      <c r="CD90" s="28" t="e">
        <f t="shared" si="59"/>
        <v>#DIV/0!</v>
      </c>
      <c r="CE90" s="28">
        <f t="shared" si="60"/>
        <v>0</v>
      </c>
      <c r="CF90" s="28"/>
      <c r="CG90" s="28"/>
      <c r="CH90" s="20">
        <f t="shared" si="63"/>
        <v>0</v>
      </c>
      <c r="CI90" s="20" t="e">
        <f t="shared" si="64"/>
        <v>#DIV/0!</v>
      </c>
      <c r="CJ90" s="28"/>
      <c r="CK90" s="28"/>
    </row>
    <row r="91" spans="1:89" ht="22.5" hidden="1" customHeight="1">
      <c r="A91" s="10" t="s">
        <v>236</v>
      </c>
      <c r="B91" s="40" t="s">
        <v>237</v>
      </c>
      <c r="C91" s="28">
        <v>55</v>
      </c>
      <c r="D91" s="28">
        <v>94</v>
      </c>
      <c r="E91" s="28">
        <v>94</v>
      </c>
      <c r="F91" s="28">
        <v>94</v>
      </c>
      <c r="G91" s="28">
        <v>85</v>
      </c>
      <c r="H91" s="28">
        <v>111.5</v>
      </c>
      <c r="I91" s="28">
        <v>111.5</v>
      </c>
      <c r="J91" s="28">
        <v>99</v>
      </c>
      <c r="K91" s="28">
        <v>99</v>
      </c>
      <c r="L91" s="28">
        <v>99</v>
      </c>
      <c r="M91" s="28">
        <v>99</v>
      </c>
      <c r="N91" s="28">
        <v>88</v>
      </c>
      <c r="O91" s="28">
        <v>88</v>
      </c>
      <c r="P91" s="28">
        <v>88</v>
      </c>
      <c r="Q91" s="28">
        <v>88</v>
      </c>
      <c r="R91" s="28">
        <v>101</v>
      </c>
      <c r="S91" s="28">
        <v>101</v>
      </c>
      <c r="T91" s="28">
        <v>101</v>
      </c>
      <c r="U91" s="28">
        <v>101</v>
      </c>
      <c r="V91" s="28">
        <v>97</v>
      </c>
      <c r="W91" s="28">
        <v>97</v>
      </c>
      <c r="X91" s="28">
        <v>97</v>
      </c>
      <c r="Y91" s="28">
        <v>97</v>
      </c>
      <c r="Z91" s="28">
        <v>100</v>
      </c>
      <c r="AA91" s="28">
        <v>100</v>
      </c>
      <c r="AB91" s="28">
        <v>100</v>
      </c>
      <c r="AC91" s="28">
        <v>100</v>
      </c>
      <c r="AD91" s="28">
        <v>79.400000000000006</v>
      </c>
      <c r="AE91" s="28">
        <v>113.1</v>
      </c>
      <c r="AF91" s="28">
        <v>113.1</v>
      </c>
      <c r="AG91" s="28">
        <v>113.1</v>
      </c>
      <c r="AH91" s="28">
        <f>22.1+87.8</f>
        <v>109.9</v>
      </c>
      <c r="AI91" s="28">
        <f>22.1+87.8</f>
        <v>109.9</v>
      </c>
      <c r="AJ91" s="28">
        <f>22.1+87.8</f>
        <v>109.9</v>
      </c>
      <c r="AK91" s="28">
        <v>109.9</v>
      </c>
      <c r="AL91" s="28">
        <v>109.9</v>
      </c>
      <c r="AM91" s="28">
        <v>109.9</v>
      </c>
      <c r="AN91" s="28">
        <v>100.6</v>
      </c>
      <c r="AO91" s="28">
        <v>100.6</v>
      </c>
      <c r="AP91" s="28">
        <v>100.6</v>
      </c>
      <c r="AQ91" s="28">
        <v>100.6</v>
      </c>
      <c r="AR91" s="28">
        <v>100.6</v>
      </c>
      <c r="AS91" s="28"/>
      <c r="AT91" s="28">
        <v>100.6</v>
      </c>
      <c r="AU91" s="28">
        <v>100.6</v>
      </c>
      <c r="AV91" s="28">
        <v>100.6</v>
      </c>
      <c r="AW91" s="28">
        <v>100.6</v>
      </c>
      <c r="AX91" s="28">
        <v>103.9</v>
      </c>
      <c r="AY91" s="28">
        <v>103.9</v>
      </c>
      <c r="AZ91" s="28">
        <v>103.9</v>
      </c>
      <c r="BA91" s="28">
        <v>103.9</v>
      </c>
      <c r="BB91" s="28">
        <v>103.9</v>
      </c>
      <c r="BC91" s="28">
        <v>103.9</v>
      </c>
      <c r="BD91" s="28">
        <v>103.9</v>
      </c>
      <c r="BE91" s="28">
        <v>103.9</v>
      </c>
      <c r="BF91" s="28">
        <v>103.9</v>
      </c>
      <c r="BG91" s="28">
        <v>116.8</v>
      </c>
      <c r="BH91" s="28">
        <v>116.8</v>
      </c>
      <c r="BI91" s="28">
        <v>116.8</v>
      </c>
      <c r="BJ91" s="20">
        <v>116.8</v>
      </c>
      <c r="BK91" s="23">
        <v>131.1</v>
      </c>
      <c r="BL91" s="28">
        <v>131.1</v>
      </c>
      <c r="BM91" s="28"/>
      <c r="BN91" s="28">
        <v>131.05000000000001</v>
      </c>
      <c r="BO91" s="28">
        <v>131.05000000000001</v>
      </c>
      <c r="BP91" s="28">
        <v>143.6</v>
      </c>
      <c r="BQ91" s="28">
        <v>143.6</v>
      </c>
      <c r="BR91" s="28">
        <v>143.6</v>
      </c>
      <c r="BS91" s="23">
        <v>143.6</v>
      </c>
      <c r="BT91" s="28">
        <v>143.6</v>
      </c>
      <c r="BU91" s="28">
        <v>143.6</v>
      </c>
      <c r="BV91" s="28">
        <v>96.9</v>
      </c>
      <c r="BW91" s="28">
        <v>143.6</v>
      </c>
      <c r="BX91" s="24">
        <f t="shared" si="61"/>
        <v>0</v>
      </c>
      <c r="BY91" s="25">
        <f t="shared" si="62"/>
        <v>100</v>
      </c>
      <c r="BZ91" s="28">
        <v>143.6</v>
      </c>
      <c r="CA91" s="28">
        <v>143.6</v>
      </c>
      <c r="CB91" s="28">
        <v>143.6</v>
      </c>
      <c r="CC91" s="28">
        <f t="shared" si="58"/>
        <v>100</v>
      </c>
      <c r="CD91" s="28">
        <f t="shared" si="59"/>
        <v>100</v>
      </c>
      <c r="CE91" s="28">
        <f t="shared" si="60"/>
        <v>109.57649752003051</v>
      </c>
      <c r="CF91" s="28">
        <v>138.6</v>
      </c>
      <c r="CG91" s="28">
        <v>138.6</v>
      </c>
      <c r="CH91" s="20">
        <f t="shared" si="63"/>
        <v>0</v>
      </c>
      <c r="CI91" s="20">
        <f t="shared" si="64"/>
        <v>100</v>
      </c>
      <c r="CJ91" s="28">
        <v>142.69999999999999</v>
      </c>
      <c r="CK91" s="28">
        <v>142.69999999999999</v>
      </c>
    </row>
    <row r="92" spans="1:89" ht="22.5" hidden="1" customHeight="1">
      <c r="A92" s="10" t="s">
        <v>238</v>
      </c>
      <c r="B92" s="40" t="s">
        <v>239</v>
      </c>
      <c r="C92" s="28">
        <v>540.70000000000005</v>
      </c>
      <c r="D92" s="28">
        <v>503.9</v>
      </c>
      <c r="E92" s="28">
        <v>503.9</v>
      </c>
      <c r="F92" s="28">
        <v>503.9</v>
      </c>
      <c r="G92" s="28">
        <v>282</v>
      </c>
      <c r="H92" s="28">
        <v>400.9</v>
      </c>
      <c r="I92" s="28">
        <v>400.84440999999998</v>
      </c>
      <c r="J92" s="28">
        <v>780</v>
      </c>
      <c r="K92" s="28">
        <v>780</v>
      </c>
      <c r="L92" s="28">
        <v>780</v>
      </c>
      <c r="M92" s="28">
        <v>780</v>
      </c>
      <c r="N92" s="28">
        <v>788</v>
      </c>
      <c r="O92" s="28">
        <v>610.4</v>
      </c>
      <c r="P92" s="28">
        <v>610.4</v>
      </c>
      <c r="Q92" s="28">
        <v>610.4</v>
      </c>
      <c r="R92" s="28">
        <v>788</v>
      </c>
      <c r="S92" s="28">
        <v>552</v>
      </c>
      <c r="T92" s="28">
        <v>552</v>
      </c>
      <c r="U92" s="28">
        <v>552</v>
      </c>
      <c r="V92" s="28">
        <v>378.2</v>
      </c>
      <c r="W92" s="28">
        <v>378.2</v>
      </c>
      <c r="X92" s="28">
        <v>378.2</v>
      </c>
      <c r="Y92" s="28">
        <v>378.2</v>
      </c>
      <c r="Z92" s="28">
        <v>393.8</v>
      </c>
      <c r="AA92" s="28">
        <v>393.8</v>
      </c>
      <c r="AB92" s="28">
        <v>393.8</v>
      </c>
      <c r="AC92" s="28">
        <v>393.8</v>
      </c>
      <c r="AD92" s="28">
        <v>435.5</v>
      </c>
      <c r="AE92" s="28">
        <v>435.5</v>
      </c>
      <c r="AF92" s="28">
        <v>435.5</v>
      </c>
      <c r="AG92" s="28">
        <v>435.5</v>
      </c>
      <c r="AH92" s="28">
        <v>438</v>
      </c>
      <c r="AI92" s="28">
        <v>442.1</v>
      </c>
      <c r="AJ92" s="28">
        <v>455.2</v>
      </c>
      <c r="AK92" s="28">
        <v>481</v>
      </c>
      <c r="AL92" s="28">
        <v>481</v>
      </c>
      <c r="AM92" s="28">
        <v>481</v>
      </c>
      <c r="AN92" s="28">
        <v>466.4</v>
      </c>
      <c r="AO92" s="28">
        <v>466.4</v>
      </c>
      <c r="AP92" s="28">
        <v>466.4</v>
      </c>
      <c r="AQ92" s="28">
        <v>466.4</v>
      </c>
      <c r="AR92" s="28">
        <v>466.4</v>
      </c>
      <c r="AS92" s="28"/>
      <c r="AT92" s="28">
        <v>524.1</v>
      </c>
      <c r="AU92" s="28">
        <v>524.1</v>
      </c>
      <c r="AV92" s="28">
        <v>524.09699999999998</v>
      </c>
      <c r="AW92" s="28">
        <v>524.09699999999998</v>
      </c>
      <c r="AX92" s="28">
        <v>493.8</v>
      </c>
      <c r="AY92" s="28">
        <v>510.5</v>
      </c>
      <c r="AZ92" s="28">
        <v>528.4</v>
      </c>
      <c r="BA92" s="28">
        <v>493.8</v>
      </c>
      <c r="BB92" s="28">
        <v>493.8</v>
      </c>
      <c r="BC92" s="28">
        <v>549.1</v>
      </c>
      <c r="BD92" s="28">
        <v>549.1</v>
      </c>
      <c r="BE92" s="28">
        <v>549.11150999999995</v>
      </c>
      <c r="BF92" s="28">
        <v>549.11150999999995</v>
      </c>
      <c r="BG92" s="28">
        <v>594.70000000000005</v>
      </c>
      <c r="BH92" s="28">
        <v>622.5</v>
      </c>
      <c r="BI92" s="28">
        <v>645.1</v>
      </c>
      <c r="BJ92" s="20">
        <v>594.70000000000005</v>
      </c>
      <c r="BK92" s="23">
        <v>594.70000000000005</v>
      </c>
      <c r="BL92" s="28">
        <v>617.9</v>
      </c>
      <c r="BM92" s="28"/>
      <c r="BN92" s="28">
        <v>617.90800000000002</v>
      </c>
      <c r="BO92" s="28">
        <v>617.90800000000002</v>
      </c>
      <c r="BP92" s="28">
        <v>700.5</v>
      </c>
      <c r="BQ92" s="28">
        <v>773.4</v>
      </c>
      <c r="BR92" s="28">
        <v>847.6</v>
      </c>
      <c r="BS92" s="23">
        <v>700.5</v>
      </c>
      <c r="BT92" s="28">
        <v>700.5</v>
      </c>
      <c r="BU92" s="28">
        <v>700.5</v>
      </c>
      <c r="BV92" s="28">
        <v>519.4</v>
      </c>
      <c r="BW92" s="28">
        <v>700.5</v>
      </c>
      <c r="BX92" s="24">
        <f t="shared" si="61"/>
        <v>0</v>
      </c>
      <c r="BY92" s="25">
        <f t="shared" si="62"/>
        <v>100</v>
      </c>
      <c r="BZ92" s="28">
        <v>700.5</v>
      </c>
      <c r="CA92" s="28">
        <v>700.5</v>
      </c>
      <c r="CB92" s="28">
        <v>700.5</v>
      </c>
      <c r="CC92" s="28">
        <f t="shared" si="58"/>
        <v>100</v>
      </c>
      <c r="CD92" s="28">
        <f t="shared" si="59"/>
        <v>100</v>
      </c>
      <c r="CE92" s="28">
        <f t="shared" si="60"/>
        <v>113.36639111324016</v>
      </c>
      <c r="CF92" s="28">
        <v>856.6</v>
      </c>
      <c r="CG92" s="28">
        <v>856.6</v>
      </c>
      <c r="CH92" s="20">
        <f t="shared" si="63"/>
        <v>0</v>
      </c>
      <c r="CI92" s="20">
        <f t="shared" si="64"/>
        <v>100</v>
      </c>
      <c r="CJ92" s="28">
        <v>938.6</v>
      </c>
      <c r="CK92" s="28">
        <v>972.9</v>
      </c>
    </row>
    <row r="93" spans="1:89" ht="22.5" customHeight="1">
      <c r="A93" s="18" t="s">
        <v>240</v>
      </c>
      <c r="B93" s="19" t="s">
        <v>241</v>
      </c>
      <c r="C93" s="20">
        <f t="shared" ref="C93:J93" si="74">C96</f>
        <v>3649.0920000000001</v>
      </c>
      <c r="D93" s="20">
        <f t="shared" si="74"/>
        <v>0</v>
      </c>
      <c r="E93" s="20">
        <f t="shared" si="74"/>
        <v>1357.2</v>
      </c>
      <c r="F93" s="20">
        <f t="shared" si="74"/>
        <v>1357.10265</v>
      </c>
      <c r="G93" s="20">
        <f t="shared" si="74"/>
        <v>0</v>
      </c>
      <c r="H93" s="20">
        <f t="shared" si="74"/>
        <v>2097.4</v>
      </c>
      <c r="I93" s="20">
        <f t="shared" si="74"/>
        <v>2095.3605499999999</v>
      </c>
      <c r="J93" s="20">
        <f t="shared" si="74"/>
        <v>2839</v>
      </c>
      <c r="K93" s="20">
        <f>K96+K95</f>
        <v>5046.5</v>
      </c>
      <c r="L93" s="20">
        <f>L96+L95</f>
        <v>5033.9957200000008</v>
      </c>
      <c r="M93" s="20">
        <f>M96+M95</f>
        <v>3776.9957199999999</v>
      </c>
      <c r="N93" s="20">
        <f>N96</f>
        <v>2866.4</v>
      </c>
      <c r="O93" s="20">
        <f>O96+O95+O94</f>
        <v>16891.599999999999</v>
      </c>
      <c r="P93" s="20">
        <f>P96+P95+P94</f>
        <v>16500.155650000001</v>
      </c>
      <c r="Q93" s="20">
        <f>Q96+Q95+Q94</f>
        <v>16500.155650000001</v>
      </c>
      <c r="R93" s="20">
        <f>R96</f>
        <v>15588.900000000001</v>
      </c>
      <c r="S93" s="20">
        <f>S96+S95+S94</f>
        <v>17582.2</v>
      </c>
      <c r="T93" s="20">
        <f>T96+T95+T94</f>
        <v>17582.15799</v>
      </c>
      <c r="U93" s="20">
        <f>U96+U95+U94</f>
        <v>16750.457989999999</v>
      </c>
      <c r="V93" s="20">
        <f>V96</f>
        <v>3385.5</v>
      </c>
      <c r="W93" s="20">
        <f>W96+W95+W94</f>
        <v>24735.200000000001</v>
      </c>
      <c r="X93" s="20">
        <f>X96+X95+X94</f>
        <v>24650.823359999999</v>
      </c>
      <c r="Y93" s="20">
        <f>Y96+Y95+Y94</f>
        <v>24650.823359999999</v>
      </c>
      <c r="Z93" s="20">
        <f>Z96</f>
        <v>1378.3</v>
      </c>
      <c r="AA93" s="20">
        <f>AA96+AA95+AA94</f>
        <v>5369</v>
      </c>
      <c r="AB93" s="20">
        <f>AB96+AB95+AB94</f>
        <v>5368.9667399999998</v>
      </c>
      <c r="AC93" s="20">
        <f>AC96+AC95+AC94</f>
        <v>5368.9667399999998</v>
      </c>
      <c r="AD93" s="20">
        <f>AD96</f>
        <v>3444.3</v>
      </c>
      <c r="AE93" s="20">
        <f>AE96+AE95+AE94</f>
        <v>12296.5</v>
      </c>
      <c r="AF93" s="20">
        <f>AF96+AF95+AF94</f>
        <v>12296.59355</v>
      </c>
      <c r="AG93" s="20">
        <f>AG96+AG95+AG94</f>
        <v>12296.59355</v>
      </c>
      <c r="AH93" s="20">
        <f>AH96</f>
        <v>6628.5</v>
      </c>
      <c r="AI93" s="20">
        <f>AI96</f>
        <v>5972.4</v>
      </c>
      <c r="AJ93" s="20">
        <f>AJ96</f>
        <v>5972.4</v>
      </c>
      <c r="AK93" s="20">
        <f>AK96+AK95+AK94</f>
        <v>39952.1</v>
      </c>
      <c r="AL93" s="20">
        <f>AL96+AL95+AL94</f>
        <v>39952.047599999998</v>
      </c>
      <c r="AM93" s="20">
        <f>AM96+AM95+AM94</f>
        <v>39952.047599999998</v>
      </c>
      <c r="AN93" s="20">
        <f>AN96</f>
        <v>1790.4</v>
      </c>
      <c r="AO93" s="20">
        <f>AO96</f>
        <v>1790.4</v>
      </c>
      <c r="AP93" s="20">
        <f>AP96</f>
        <v>1790.4</v>
      </c>
      <c r="AQ93" s="20">
        <v>2565.1999999999998</v>
      </c>
      <c r="AR93" s="20">
        <v>4693</v>
      </c>
      <c r="AS93" s="20">
        <v>22451</v>
      </c>
      <c r="AT93" s="20">
        <f>AT96+AT95+AT94</f>
        <v>25075.7</v>
      </c>
      <c r="AU93" s="20">
        <f>AU96+AU95+AU94</f>
        <v>31302.7</v>
      </c>
      <c r="AV93" s="20">
        <f>AV96+AV95+AV94</f>
        <v>31113.612809999999</v>
      </c>
      <c r="AW93" s="20">
        <f>AW96+AW95+AW94</f>
        <v>31113.612809999999</v>
      </c>
      <c r="AX93" s="20">
        <f>AX96</f>
        <v>21606.3</v>
      </c>
      <c r="AY93" s="20">
        <f>AY96</f>
        <v>6292.6</v>
      </c>
      <c r="AZ93" s="20">
        <f>AZ96</f>
        <v>5178.3</v>
      </c>
      <c r="BA93" s="20">
        <v>25405.599999999999</v>
      </c>
      <c r="BB93" s="20">
        <v>30965.4</v>
      </c>
      <c r="BC93" s="20">
        <f>BC96</f>
        <v>18096.3</v>
      </c>
      <c r="BD93" s="20">
        <f>BD96</f>
        <v>42264.6</v>
      </c>
      <c r="BE93" s="20">
        <f>BE96</f>
        <v>42260.086860000003</v>
      </c>
      <c r="BF93" s="20">
        <f>BF96+BF95+BF94</f>
        <v>42260.086860000003</v>
      </c>
      <c r="BG93" s="20">
        <f>BG96</f>
        <v>17031.5</v>
      </c>
      <c r="BH93" s="20">
        <f>BH96</f>
        <v>9154.7000000000007</v>
      </c>
      <c r="BI93" s="20">
        <f>BI96</f>
        <v>8547.5</v>
      </c>
      <c r="BJ93" s="20">
        <f t="shared" ref="BJ93:BV93" si="75">BJ96</f>
        <v>18815.400000000001</v>
      </c>
      <c r="BK93" s="20">
        <f t="shared" si="75"/>
        <v>28454</v>
      </c>
      <c r="BL93" s="20">
        <f t="shared" si="75"/>
        <v>40543.4</v>
      </c>
      <c r="BM93" s="20">
        <f t="shared" si="75"/>
        <v>37440.800000000003</v>
      </c>
      <c r="BN93" s="20">
        <f t="shared" si="75"/>
        <v>40543.415139999997</v>
      </c>
      <c r="BO93" s="20">
        <f t="shared" si="75"/>
        <v>40543.415139999997</v>
      </c>
      <c r="BP93" s="20">
        <f t="shared" si="75"/>
        <v>22721.1</v>
      </c>
      <c r="BQ93" s="20">
        <f t="shared" si="75"/>
        <v>10654.4</v>
      </c>
      <c r="BR93" s="20">
        <f t="shared" si="75"/>
        <v>8382.1</v>
      </c>
      <c r="BS93" s="20">
        <f t="shared" si="75"/>
        <v>23632.3</v>
      </c>
      <c r="BT93" s="20">
        <f t="shared" si="75"/>
        <v>37848.9</v>
      </c>
      <c r="BU93" s="20">
        <f t="shared" si="75"/>
        <v>39375.1</v>
      </c>
      <c r="BV93" s="20">
        <f t="shared" si="75"/>
        <v>18447.3</v>
      </c>
      <c r="BW93" s="20">
        <f>BW96</f>
        <v>42642.6</v>
      </c>
      <c r="BX93" s="24">
        <f t="shared" si="61"/>
        <v>19921.5</v>
      </c>
      <c r="BY93" s="25">
        <f t="shared" si="62"/>
        <v>187.67841345709496</v>
      </c>
      <c r="BZ93" s="20">
        <f>BZ96</f>
        <v>39375.1</v>
      </c>
      <c r="CA93" s="20">
        <f>CA96</f>
        <v>41170.649160000001</v>
      </c>
      <c r="CB93" s="20">
        <f>CB96</f>
        <v>41170.649160000001</v>
      </c>
      <c r="CC93" s="28">
        <f t="shared" si="58"/>
        <v>181.20007024307802</v>
      </c>
      <c r="CD93" s="28">
        <f t="shared" si="59"/>
        <v>96.548168169858315</v>
      </c>
      <c r="CE93" s="28">
        <f t="shared" si="60"/>
        <v>101.54706755174449</v>
      </c>
      <c r="CF93" s="20">
        <f>CF96</f>
        <v>15030.9</v>
      </c>
      <c r="CG93" s="20">
        <f>CG96</f>
        <v>15230.9</v>
      </c>
      <c r="CH93" s="20">
        <f t="shared" si="63"/>
        <v>200</v>
      </c>
      <c r="CI93" s="20">
        <f t="shared" si="64"/>
        <v>101.33059231316821</v>
      </c>
      <c r="CJ93" s="20">
        <f>CJ96</f>
        <v>12150.4</v>
      </c>
      <c r="CK93" s="20">
        <f>CK96</f>
        <v>11703.5</v>
      </c>
    </row>
    <row r="94" spans="1:89" ht="22.5" hidden="1" customHeight="1">
      <c r="A94" s="10" t="s">
        <v>242</v>
      </c>
      <c r="B94" s="41" t="s">
        <v>243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>
        <v>4220.3999999999996</v>
      </c>
      <c r="P94" s="20">
        <v>4220.4380000000001</v>
      </c>
      <c r="Q94" s="20">
        <v>4220.4380000000001</v>
      </c>
      <c r="R94" s="20"/>
      <c r="S94" s="20"/>
      <c r="T94" s="20"/>
      <c r="U94" s="28"/>
      <c r="V94" s="20"/>
      <c r="W94" s="20"/>
      <c r="X94" s="20"/>
      <c r="Y94" s="28"/>
      <c r="Z94" s="20"/>
      <c r="AA94" s="20"/>
      <c r="AB94" s="20"/>
      <c r="AC94" s="28"/>
      <c r="AD94" s="20"/>
      <c r="AE94" s="20"/>
      <c r="AF94" s="20"/>
      <c r="AG94" s="28"/>
      <c r="AH94" s="20"/>
      <c r="AI94" s="20"/>
      <c r="AJ94" s="20"/>
      <c r="AK94" s="20"/>
      <c r="AL94" s="20"/>
      <c r="AM94" s="28"/>
      <c r="AN94" s="20"/>
      <c r="AO94" s="20"/>
      <c r="AP94" s="20"/>
      <c r="AQ94" s="20"/>
      <c r="AR94" s="20"/>
      <c r="AS94" s="20"/>
      <c r="AT94" s="20"/>
      <c r="AU94" s="20"/>
      <c r="AV94" s="20"/>
      <c r="AW94" s="28"/>
      <c r="AX94" s="20"/>
      <c r="AY94" s="20"/>
      <c r="AZ94" s="20"/>
      <c r="BA94" s="20"/>
      <c r="BB94" s="20"/>
      <c r="BC94" s="20"/>
      <c r="BD94" s="20"/>
      <c r="BE94" s="20"/>
      <c r="BF94" s="28"/>
      <c r="BG94" s="20"/>
      <c r="BH94" s="20"/>
      <c r="BI94" s="20"/>
      <c r="BJ94" s="20"/>
      <c r="BK94" s="23"/>
      <c r="BL94" s="20"/>
      <c r="BM94" s="20"/>
      <c r="BN94" s="20"/>
      <c r="BO94" s="20"/>
      <c r="BP94" s="20"/>
      <c r="BQ94" s="20"/>
      <c r="BR94" s="20"/>
      <c r="BS94" s="23"/>
      <c r="BT94" s="20"/>
      <c r="BU94" s="20"/>
      <c r="BV94" s="20"/>
      <c r="BW94" s="20"/>
      <c r="BX94" s="24">
        <f t="shared" si="61"/>
        <v>0</v>
      </c>
      <c r="BY94" s="25" t="e">
        <f t="shared" si="62"/>
        <v>#DIV/0!</v>
      </c>
      <c r="BZ94" s="20"/>
      <c r="CA94" s="20"/>
      <c r="CB94" s="20"/>
      <c r="CC94" s="28" t="e">
        <f t="shared" si="58"/>
        <v>#DIV/0!</v>
      </c>
      <c r="CD94" s="28" t="e">
        <f t="shared" si="59"/>
        <v>#DIV/0!</v>
      </c>
      <c r="CE94" s="28" t="e">
        <f t="shared" si="60"/>
        <v>#DIV/0!</v>
      </c>
      <c r="CF94" s="20"/>
      <c r="CG94" s="20"/>
      <c r="CH94" s="20">
        <f t="shared" si="63"/>
        <v>0</v>
      </c>
      <c r="CI94" s="20" t="e">
        <f t="shared" si="64"/>
        <v>#DIV/0!</v>
      </c>
      <c r="CJ94" s="20"/>
      <c r="CK94" s="20"/>
    </row>
    <row r="95" spans="1:89" ht="22.5" hidden="1" customHeight="1">
      <c r="A95" s="34" t="s">
        <v>244</v>
      </c>
      <c r="B95" s="35" t="s">
        <v>245</v>
      </c>
      <c r="C95" s="20"/>
      <c r="D95" s="20"/>
      <c r="E95" s="20"/>
      <c r="F95" s="20"/>
      <c r="G95" s="20"/>
      <c r="H95" s="20"/>
      <c r="I95" s="20"/>
      <c r="J95" s="20"/>
      <c r="K95" s="20">
        <v>269.89999999999998</v>
      </c>
      <c r="L95" s="20">
        <v>269.96859000000001</v>
      </c>
      <c r="M95" s="20">
        <v>269.96859000000001</v>
      </c>
      <c r="N95" s="20"/>
      <c r="O95" s="20"/>
      <c r="P95" s="20"/>
      <c r="Q95" s="20">
        <v>0</v>
      </c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3"/>
      <c r="BL95" s="20"/>
      <c r="BM95" s="20"/>
      <c r="BN95" s="20"/>
      <c r="BO95" s="20"/>
      <c r="BP95" s="20"/>
      <c r="BQ95" s="20"/>
      <c r="BR95" s="20"/>
      <c r="BS95" s="23"/>
      <c r="BT95" s="20"/>
      <c r="BU95" s="20"/>
      <c r="BV95" s="20"/>
      <c r="BW95" s="20"/>
      <c r="BX95" s="24">
        <f t="shared" si="61"/>
        <v>0</v>
      </c>
      <c r="BY95" s="25" t="e">
        <f t="shared" si="62"/>
        <v>#DIV/0!</v>
      </c>
      <c r="BZ95" s="20"/>
      <c r="CA95" s="20"/>
      <c r="CB95" s="20"/>
      <c r="CC95" s="28" t="e">
        <f t="shared" si="58"/>
        <v>#DIV/0!</v>
      </c>
      <c r="CD95" s="28" t="e">
        <f t="shared" si="59"/>
        <v>#DIV/0!</v>
      </c>
      <c r="CE95" s="28" t="e">
        <f t="shared" si="60"/>
        <v>#DIV/0!</v>
      </c>
      <c r="CF95" s="20"/>
      <c r="CG95" s="20"/>
      <c r="CH95" s="20">
        <f t="shared" si="63"/>
        <v>0</v>
      </c>
      <c r="CI95" s="20" t="e">
        <f t="shared" si="64"/>
        <v>#DIV/0!</v>
      </c>
      <c r="CJ95" s="20"/>
      <c r="CK95" s="20"/>
    </row>
    <row r="96" spans="1:89" s="26" customFormat="1" ht="22.5" hidden="1" customHeight="1">
      <c r="A96" s="10" t="s">
        <v>246</v>
      </c>
      <c r="B96" s="41" t="s">
        <v>247</v>
      </c>
      <c r="C96" s="28">
        <v>3649.0920000000001</v>
      </c>
      <c r="D96" s="28">
        <v>0</v>
      </c>
      <c r="E96" s="28">
        <v>1357.2</v>
      </c>
      <c r="F96" s="28">
        <v>1357.10265</v>
      </c>
      <c r="G96" s="28">
        <v>0</v>
      </c>
      <c r="H96" s="28">
        <v>2097.4</v>
      </c>
      <c r="I96" s="28">
        <v>2095.3605499999999</v>
      </c>
      <c r="J96" s="28">
        <f>1582+1257</f>
        <v>2839</v>
      </c>
      <c r="K96" s="28">
        <f>3519.6+1257</f>
        <v>4776.6000000000004</v>
      </c>
      <c r="L96" s="28">
        <f>3507.02713+1257</f>
        <v>4764.0271300000004</v>
      </c>
      <c r="M96" s="28">
        <v>3507.0271299999999</v>
      </c>
      <c r="N96" s="28">
        <f>1883.7+982.7</f>
        <v>2866.4</v>
      </c>
      <c r="O96" s="28">
        <f>11688.5+982.7</f>
        <v>12671.2</v>
      </c>
      <c r="P96" s="28">
        <f>9910.88957+1386.12808+982.7</f>
        <v>12279.717650000001</v>
      </c>
      <c r="Q96" s="28">
        <f>9910.88957+1386.12808+982.7</f>
        <v>12279.717650000001</v>
      </c>
      <c r="R96" s="28">
        <f>14757.2+831.7</f>
        <v>15588.900000000001</v>
      </c>
      <c r="S96" s="28">
        <f>16750.5+831.7</f>
        <v>17582.2</v>
      </c>
      <c r="T96" s="28">
        <f>16750.45799+831.7</f>
        <v>17582.15799</v>
      </c>
      <c r="U96" s="28">
        <v>16750.457989999999</v>
      </c>
      <c r="V96" s="28">
        <v>3385.5</v>
      </c>
      <c r="W96" s="28">
        <v>24735.200000000001</v>
      </c>
      <c r="X96" s="28">
        <v>24650.823359999999</v>
      </c>
      <c r="Y96" s="28">
        <v>24650.823359999999</v>
      </c>
      <c r="Z96" s="28">
        <v>1378.3</v>
      </c>
      <c r="AA96" s="28">
        <v>5369</v>
      </c>
      <c r="AB96" s="28">
        <v>5368.9667399999998</v>
      </c>
      <c r="AC96" s="28">
        <v>5368.9667399999998</v>
      </c>
      <c r="AD96" s="28">
        <v>3444.3</v>
      </c>
      <c r="AE96" s="28">
        <v>12296.5</v>
      </c>
      <c r="AF96" s="28">
        <v>12296.59355</v>
      </c>
      <c r="AG96" s="28">
        <v>12296.59355</v>
      </c>
      <c r="AH96" s="28">
        <v>6628.5</v>
      </c>
      <c r="AI96" s="28">
        <v>5972.4</v>
      </c>
      <c r="AJ96" s="28">
        <v>5972.4</v>
      </c>
      <c r="AK96" s="28">
        <v>39952.1</v>
      </c>
      <c r="AL96" s="28">
        <v>39952.047599999998</v>
      </c>
      <c r="AM96" s="28">
        <v>39952.047599999998</v>
      </c>
      <c r="AN96" s="28">
        <v>1790.4</v>
      </c>
      <c r="AO96" s="28">
        <v>1790.4</v>
      </c>
      <c r="AP96" s="28">
        <v>1790.4</v>
      </c>
      <c r="AQ96" s="28">
        <v>1790.4</v>
      </c>
      <c r="AR96" s="28">
        <v>1790.4</v>
      </c>
      <c r="AS96" s="28"/>
      <c r="AT96" s="28">
        <v>25075.7</v>
      </c>
      <c r="AU96" s="28">
        <v>31302.7</v>
      </c>
      <c r="AV96" s="28">
        <v>31113.612809999999</v>
      </c>
      <c r="AW96" s="28">
        <v>31113.612809999999</v>
      </c>
      <c r="AX96" s="28">
        <v>21606.3</v>
      </c>
      <c r="AY96" s="28">
        <v>6292.6</v>
      </c>
      <c r="AZ96" s="28">
        <v>5178.3</v>
      </c>
      <c r="BA96" s="28"/>
      <c r="BB96" s="28">
        <v>21608.3</v>
      </c>
      <c r="BC96" s="28">
        <f>SUM(BC97:BC117)</f>
        <v>18096.3</v>
      </c>
      <c r="BD96" s="28">
        <v>42264.6</v>
      </c>
      <c r="BE96" s="28">
        <v>42260.086860000003</v>
      </c>
      <c r="BF96" s="28">
        <v>42260.086860000003</v>
      </c>
      <c r="BG96" s="28">
        <v>17031.5</v>
      </c>
      <c r="BH96" s="28">
        <v>9154.7000000000007</v>
      </c>
      <c r="BI96" s="28">
        <v>8547.5</v>
      </c>
      <c r="BJ96" s="28">
        <v>18815.400000000001</v>
      </c>
      <c r="BK96" s="29">
        <v>28454</v>
      </c>
      <c r="BL96" s="28">
        <v>40543.4</v>
      </c>
      <c r="BM96" s="28">
        <v>37440.800000000003</v>
      </c>
      <c r="BN96" s="28">
        <v>40543.415139999997</v>
      </c>
      <c r="BO96" s="28">
        <v>40543.415139999997</v>
      </c>
      <c r="BP96" s="28">
        <v>22721.1</v>
      </c>
      <c r="BQ96" s="28">
        <v>10654.4</v>
      </c>
      <c r="BR96" s="28">
        <v>8382.1</v>
      </c>
      <c r="BS96" s="29">
        <v>23632.3</v>
      </c>
      <c r="BT96" s="28">
        <v>37848.9</v>
      </c>
      <c r="BU96" s="28">
        <v>39375.1</v>
      </c>
      <c r="BV96" s="28">
        <v>18447.3</v>
      </c>
      <c r="BW96" s="28">
        <v>42642.6</v>
      </c>
      <c r="BX96" s="24">
        <f t="shared" si="61"/>
        <v>19921.5</v>
      </c>
      <c r="BY96" s="25">
        <f t="shared" si="62"/>
        <v>187.67841345709496</v>
      </c>
      <c r="BZ96" s="28">
        <v>39375.1</v>
      </c>
      <c r="CA96" s="28">
        <v>41170.649160000001</v>
      </c>
      <c r="CB96" s="28">
        <v>41170.649160000001</v>
      </c>
      <c r="CC96" s="28">
        <f t="shared" si="58"/>
        <v>181.20007024307802</v>
      </c>
      <c r="CD96" s="28">
        <f t="shared" si="59"/>
        <v>96.548168169858315</v>
      </c>
      <c r="CE96" s="28">
        <f t="shared" si="60"/>
        <v>101.54706755174449</v>
      </c>
      <c r="CF96" s="28">
        <v>15030.9</v>
      </c>
      <c r="CG96" s="28">
        <v>15230.9</v>
      </c>
      <c r="CH96" s="20">
        <f t="shared" si="63"/>
        <v>200</v>
      </c>
      <c r="CI96" s="20">
        <f t="shared" si="64"/>
        <v>101.33059231316821</v>
      </c>
      <c r="CJ96" s="28">
        <v>12150.4</v>
      </c>
      <c r="CK96" s="28">
        <v>11703.5</v>
      </c>
    </row>
    <row r="97" spans="1:89" ht="21" hidden="1" customHeight="1">
      <c r="A97" s="10"/>
      <c r="B97" s="41" t="s">
        <v>248</v>
      </c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>
        <v>3109.3</v>
      </c>
      <c r="P97" s="28">
        <v>2717.9247300000002</v>
      </c>
      <c r="Q97" s="28">
        <v>2717.9247300000002</v>
      </c>
      <c r="R97" s="28">
        <v>2612</v>
      </c>
      <c r="S97" s="28">
        <v>3003.4</v>
      </c>
      <c r="T97" s="28">
        <v>3003.4</v>
      </c>
      <c r="U97" s="28"/>
      <c r="V97" s="28">
        <v>969.4</v>
      </c>
      <c r="W97" s="28">
        <v>969.4</v>
      </c>
      <c r="X97" s="28">
        <v>969.39994999999999</v>
      </c>
      <c r="Y97" s="28"/>
      <c r="Z97" s="28">
        <v>1200.3</v>
      </c>
      <c r="AA97" s="28">
        <v>1200.3</v>
      </c>
      <c r="AB97" s="28">
        <v>1200.325</v>
      </c>
      <c r="AC97" s="28"/>
      <c r="AD97" s="28">
        <f>1082.1+2300</f>
        <v>3382.1</v>
      </c>
      <c r="AE97" s="28">
        <f>1082.1+2300</f>
        <v>3382.1</v>
      </c>
      <c r="AF97" s="28">
        <f>1082.1+2300</f>
        <v>3382.1</v>
      </c>
      <c r="AG97" s="28"/>
      <c r="AH97" s="28">
        <v>5150</v>
      </c>
      <c r="AI97" s="28">
        <v>5150</v>
      </c>
      <c r="AJ97" s="28">
        <v>5150</v>
      </c>
      <c r="AK97" s="28">
        <v>5150</v>
      </c>
      <c r="AL97" s="28">
        <v>5150</v>
      </c>
      <c r="AM97" s="28"/>
      <c r="AN97" s="28">
        <v>1150</v>
      </c>
      <c r="AO97" s="28">
        <v>1150</v>
      </c>
      <c r="AP97" s="28">
        <v>1150</v>
      </c>
      <c r="AQ97" s="28">
        <v>1150</v>
      </c>
      <c r="AR97" s="28">
        <f>1150+664.2</f>
        <v>1814.2</v>
      </c>
      <c r="AS97" s="45">
        <f>1150+426.6</f>
        <v>1576.6</v>
      </c>
      <c r="AT97" s="28">
        <f>1150+583.7</f>
        <v>1733.7</v>
      </c>
      <c r="AU97" s="28">
        <f>1150+583.7</f>
        <v>1733.7</v>
      </c>
      <c r="AV97" s="28">
        <f>1150+583.7</f>
        <v>1733.7</v>
      </c>
      <c r="AW97" s="28"/>
      <c r="AX97" s="28">
        <f>2010</f>
        <v>2010</v>
      </c>
      <c r="AY97" s="28">
        <v>1150</v>
      </c>
      <c r="AZ97" s="28">
        <v>1150</v>
      </c>
      <c r="BA97" s="28">
        <f>2010</f>
        <v>2010</v>
      </c>
      <c r="BB97" s="28">
        <f>2010</f>
        <v>2010</v>
      </c>
      <c r="BC97" s="28">
        <v>5839.6</v>
      </c>
      <c r="BD97" s="28">
        <v>5839.6</v>
      </c>
      <c r="BE97" s="28">
        <v>5839.6</v>
      </c>
      <c r="BF97" s="28"/>
      <c r="BG97" s="28">
        <v>1150</v>
      </c>
      <c r="BH97" s="28">
        <v>1150</v>
      </c>
      <c r="BI97" s="28">
        <v>1150</v>
      </c>
      <c r="BJ97" s="20">
        <v>1150</v>
      </c>
      <c r="BK97" s="23">
        <v>1150</v>
      </c>
      <c r="BL97" s="28">
        <v>1150</v>
      </c>
      <c r="BM97" s="28">
        <v>1150</v>
      </c>
      <c r="BN97" s="28">
        <v>1150</v>
      </c>
      <c r="BO97" s="28"/>
      <c r="BP97" s="28">
        <v>1150</v>
      </c>
      <c r="BQ97" s="28">
        <v>1150</v>
      </c>
      <c r="BR97" s="28">
        <v>1150</v>
      </c>
      <c r="BS97" s="23">
        <v>1150</v>
      </c>
      <c r="BT97" s="28">
        <v>1150</v>
      </c>
      <c r="BU97" s="28">
        <v>2210</v>
      </c>
      <c r="BV97" s="28">
        <v>2210</v>
      </c>
      <c r="BW97" s="28">
        <v>2210</v>
      </c>
      <c r="BX97" s="24">
        <f t="shared" si="61"/>
        <v>1060</v>
      </c>
      <c r="BY97" s="25">
        <f t="shared" si="62"/>
        <v>192.17391304347825</v>
      </c>
      <c r="BZ97" s="28">
        <v>2210</v>
      </c>
      <c r="CA97" s="28">
        <v>1150</v>
      </c>
      <c r="CB97" s="28"/>
      <c r="CC97" s="28">
        <f t="shared" si="58"/>
        <v>100</v>
      </c>
      <c r="CD97" s="28">
        <f t="shared" si="59"/>
        <v>52.036199095022631</v>
      </c>
      <c r="CE97" s="28">
        <f t="shared" si="60"/>
        <v>100</v>
      </c>
      <c r="CF97" s="28"/>
      <c r="CG97" s="28"/>
      <c r="CH97" s="20">
        <f t="shared" si="63"/>
        <v>0</v>
      </c>
      <c r="CI97" s="20" t="e">
        <f t="shared" si="64"/>
        <v>#DIV/0!</v>
      </c>
      <c r="CJ97" s="28"/>
      <c r="CK97" s="28"/>
    </row>
    <row r="98" spans="1:89" ht="21" hidden="1" customHeight="1">
      <c r="A98" s="10"/>
      <c r="B98" s="41" t="s">
        <v>249</v>
      </c>
      <c r="C98" s="28"/>
      <c r="D98" s="28"/>
      <c r="E98" s="28">
        <v>1163.4000000000001</v>
      </c>
      <c r="F98" s="28">
        <v>1163.4437499999999</v>
      </c>
      <c r="G98" s="28"/>
      <c r="H98" s="28">
        <f>1946.4+26</f>
        <v>1972.4</v>
      </c>
      <c r="I98" s="28">
        <v>1972.3605500000001</v>
      </c>
      <c r="J98" s="28"/>
      <c r="K98" s="28">
        <v>1174.7</v>
      </c>
      <c r="L98" s="28">
        <v>1174.7375300000001</v>
      </c>
      <c r="M98" s="28">
        <v>1972.3605500000001</v>
      </c>
      <c r="N98" s="28"/>
      <c r="O98" s="28">
        <v>1036.5</v>
      </c>
      <c r="P98" s="28">
        <v>1036.2481499999999</v>
      </c>
      <c r="Q98" s="28">
        <v>1036.2481499999999</v>
      </c>
      <c r="R98" s="28"/>
      <c r="S98" s="28">
        <v>1071.9000000000001</v>
      </c>
      <c r="T98" s="28">
        <v>1071.9000000000001</v>
      </c>
      <c r="U98" s="28"/>
      <c r="V98" s="28"/>
      <c r="W98" s="28">
        <v>848.6</v>
      </c>
      <c r="X98" s="28">
        <v>848.61590000000001</v>
      </c>
      <c r="Y98" s="28"/>
      <c r="Z98" s="28"/>
      <c r="AA98" s="28">
        <v>916.8</v>
      </c>
      <c r="AB98" s="28">
        <v>916.75594999999998</v>
      </c>
      <c r="AC98" s="28"/>
      <c r="AD98" s="28"/>
      <c r="AE98" s="28">
        <f>700.6+1369.8</f>
        <v>2070.4</v>
      </c>
      <c r="AF98" s="28">
        <f>700.64605+1369.843</f>
        <v>2070.4890500000001</v>
      </c>
      <c r="AG98" s="28"/>
      <c r="AH98" s="28">
        <v>426.3</v>
      </c>
      <c r="AI98" s="28">
        <v>426.3</v>
      </c>
      <c r="AJ98" s="28">
        <v>426.3</v>
      </c>
      <c r="AK98" s="28">
        <v>2743</v>
      </c>
      <c r="AL98" s="28">
        <v>2742.98515</v>
      </c>
      <c r="AM98" s="28"/>
      <c r="AN98" s="28">
        <v>334.1</v>
      </c>
      <c r="AO98" s="28">
        <v>334.1</v>
      </c>
      <c r="AP98" s="28">
        <v>334.1</v>
      </c>
      <c r="AQ98" s="28">
        <v>334.1</v>
      </c>
      <c r="AR98" s="28">
        <v>334.1</v>
      </c>
      <c r="AS98" s="28"/>
      <c r="AT98" s="28">
        <f>1443.8+1123.1</f>
        <v>2566.8999999999996</v>
      </c>
      <c r="AU98" s="28">
        <f>1710.4+1665.6</f>
        <v>3376</v>
      </c>
      <c r="AV98" s="28">
        <f>1710.4+1476.4</f>
        <v>3186.8</v>
      </c>
      <c r="AW98" s="28"/>
      <c r="AX98" s="28">
        <v>723.2</v>
      </c>
      <c r="AY98" s="28">
        <v>0</v>
      </c>
      <c r="AZ98" s="28">
        <v>0</v>
      </c>
      <c r="BA98" s="28">
        <v>723.2</v>
      </c>
      <c r="BB98" s="28">
        <v>723.2</v>
      </c>
      <c r="BC98" s="28">
        <f>1038.9+1773.8</f>
        <v>2812.7</v>
      </c>
      <c r="BD98" s="28">
        <f>1038.9+1773.8</f>
        <v>2812.7</v>
      </c>
      <c r="BE98" s="28">
        <f>1375.9+1553.9</f>
        <v>2929.8</v>
      </c>
      <c r="BF98" s="28"/>
      <c r="BG98" s="28">
        <v>1052.0999999999999</v>
      </c>
      <c r="BH98" s="28">
        <v>0</v>
      </c>
      <c r="BI98" s="28">
        <v>0</v>
      </c>
      <c r="BJ98" s="20">
        <v>1236.0999999999999</v>
      </c>
      <c r="BK98" s="23">
        <v>2094.4</v>
      </c>
      <c r="BL98" s="28">
        <f>1390.1+1929</f>
        <v>3319.1</v>
      </c>
      <c r="BM98" s="28"/>
      <c r="BN98" s="28">
        <f>1929.0165+1390.1595</f>
        <v>3319.1759999999999</v>
      </c>
      <c r="BO98" s="28"/>
      <c r="BP98" s="28">
        <v>1275.9000000000001</v>
      </c>
      <c r="BQ98" s="28">
        <v>0</v>
      </c>
      <c r="BR98" s="28">
        <v>0</v>
      </c>
      <c r="BS98" s="23">
        <v>1311.1</v>
      </c>
      <c r="BT98" s="28">
        <v>2583.9</v>
      </c>
      <c r="BU98" s="28">
        <v>3162.4</v>
      </c>
      <c r="BV98" s="28">
        <f>691.9+1774.6</f>
        <v>2466.5</v>
      </c>
      <c r="BW98" s="28">
        <v>4142</v>
      </c>
      <c r="BX98" s="24">
        <f t="shared" si="61"/>
        <v>2866.1</v>
      </c>
      <c r="BY98" s="25">
        <f t="shared" si="62"/>
        <v>324.63359197429264</v>
      </c>
      <c r="BZ98" s="28">
        <v>3162.4</v>
      </c>
      <c r="CA98" s="28">
        <f>1929.0165+1390.1595</f>
        <v>3319.1759999999999</v>
      </c>
      <c r="CB98" s="28"/>
      <c r="CC98" s="28">
        <f t="shared" si="58"/>
        <v>260.14389842464141</v>
      </c>
      <c r="CD98" s="28">
        <f t="shared" si="59"/>
        <v>80.134620956059877</v>
      </c>
      <c r="CE98" s="28">
        <f t="shared" si="60"/>
        <v>100</v>
      </c>
      <c r="CF98" s="28">
        <v>1827</v>
      </c>
      <c r="CG98" s="28">
        <v>1827</v>
      </c>
      <c r="CH98" s="20">
        <f t="shared" si="63"/>
        <v>0</v>
      </c>
      <c r="CI98" s="20">
        <f t="shared" si="64"/>
        <v>100</v>
      </c>
      <c r="CJ98" s="28">
        <v>0</v>
      </c>
      <c r="CK98" s="28">
        <v>0</v>
      </c>
    </row>
    <row r="99" spans="1:89" ht="21" hidden="1" customHeight="1">
      <c r="A99" s="10"/>
      <c r="B99" s="41" t="s">
        <v>250</v>
      </c>
      <c r="C99" s="28"/>
      <c r="D99" s="28"/>
      <c r="E99" s="28">
        <v>68.7</v>
      </c>
      <c r="F99" s="28">
        <v>24.9999</v>
      </c>
      <c r="G99" s="28"/>
      <c r="H99" s="28">
        <v>25</v>
      </c>
      <c r="I99" s="28">
        <v>25</v>
      </c>
      <c r="J99" s="28">
        <v>25</v>
      </c>
      <c r="K99" s="28">
        <v>25</v>
      </c>
      <c r="L99" s="28">
        <v>25</v>
      </c>
      <c r="M99" s="28">
        <v>25</v>
      </c>
      <c r="N99" s="28">
        <v>25</v>
      </c>
      <c r="O99" s="28">
        <v>25</v>
      </c>
      <c r="P99" s="28">
        <v>25</v>
      </c>
      <c r="Q99" s="28">
        <v>25</v>
      </c>
      <c r="R99" s="28">
        <v>25</v>
      </c>
      <c r="S99" s="28">
        <v>25</v>
      </c>
      <c r="T99" s="28">
        <v>25</v>
      </c>
      <c r="U99" s="28"/>
      <c r="V99" s="28">
        <v>25</v>
      </c>
      <c r="W99" s="28">
        <v>25</v>
      </c>
      <c r="X99" s="28">
        <v>25</v>
      </c>
      <c r="Y99" s="28"/>
      <c r="Z99" s="28">
        <v>25</v>
      </c>
      <c r="AA99" s="28">
        <v>25</v>
      </c>
      <c r="AB99" s="28">
        <v>25</v>
      </c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0"/>
      <c r="BK99" s="23"/>
      <c r="BL99" s="28"/>
      <c r="BM99" s="28"/>
      <c r="BN99" s="28"/>
      <c r="BO99" s="28"/>
      <c r="BP99" s="28"/>
      <c r="BQ99" s="28"/>
      <c r="BR99" s="28"/>
      <c r="BS99" s="23"/>
      <c r="BT99" s="28"/>
      <c r="BU99" s="28"/>
      <c r="BV99" s="28"/>
      <c r="BW99" s="28"/>
      <c r="BX99" s="24">
        <f t="shared" si="61"/>
        <v>0</v>
      </c>
      <c r="BY99" s="25" t="e">
        <f t="shared" si="62"/>
        <v>#DIV/0!</v>
      </c>
      <c r="BZ99" s="28"/>
      <c r="CA99" s="28"/>
      <c r="CB99" s="28"/>
      <c r="CC99" s="28" t="e">
        <f t="shared" si="58"/>
        <v>#DIV/0!</v>
      </c>
      <c r="CD99" s="28" t="e">
        <f t="shared" si="59"/>
        <v>#DIV/0!</v>
      </c>
      <c r="CE99" s="28" t="e">
        <f t="shared" si="60"/>
        <v>#DIV/0!</v>
      </c>
      <c r="CF99" s="28"/>
      <c r="CG99" s="28"/>
      <c r="CH99" s="20">
        <f t="shared" si="63"/>
        <v>0</v>
      </c>
      <c r="CI99" s="20" t="e">
        <f t="shared" si="64"/>
        <v>#DIV/0!</v>
      </c>
      <c r="CJ99" s="28"/>
      <c r="CK99" s="28"/>
    </row>
    <row r="100" spans="1:89" ht="21" hidden="1" customHeight="1">
      <c r="A100" s="10"/>
      <c r="B100" s="41" t="s">
        <v>251</v>
      </c>
      <c r="C100" s="28"/>
      <c r="D100" s="28"/>
      <c r="E100" s="28">
        <v>100</v>
      </c>
      <c r="F100" s="28"/>
      <c r="G100" s="28"/>
      <c r="H100" s="28"/>
      <c r="I100" s="28"/>
      <c r="J100" s="28"/>
      <c r="K100" s="28">
        <v>13</v>
      </c>
      <c r="L100" s="28">
        <v>13</v>
      </c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>
        <v>40</v>
      </c>
      <c r="X100" s="28">
        <v>40</v>
      </c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>
        <v>321.5</v>
      </c>
      <c r="AU100" s="28">
        <v>321.5</v>
      </c>
      <c r="AV100" s="28">
        <v>321.5</v>
      </c>
      <c r="AW100" s="28"/>
      <c r="AX100" s="28">
        <v>355</v>
      </c>
      <c r="AY100" s="28">
        <v>355</v>
      </c>
      <c r="AZ100" s="28">
        <v>355</v>
      </c>
      <c r="BA100" s="28">
        <v>355</v>
      </c>
      <c r="BB100" s="28">
        <v>355</v>
      </c>
      <c r="BC100" s="28">
        <v>355</v>
      </c>
      <c r="BD100" s="28">
        <v>355</v>
      </c>
      <c r="BE100" s="28">
        <v>355</v>
      </c>
      <c r="BF100" s="28"/>
      <c r="BG100" s="28">
        <v>355</v>
      </c>
      <c r="BH100" s="28">
        <v>355</v>
      </c>
      <c r="BI100" s="28">
        <v>355</v>
      </c>
      <c r="BJ100" s="20">
        <v>355</v>
      </c>
      <c r="BK100" s="23">
        <v>401</v>
      </c>
      <c r="BL100" s="28">
        <f>355+46</f>
        <v>401</v>
      </c>
      <c r="BM100" s="28"/>
      <c r="BN100" s="28">
        <f>355+46</f>
        <v>401</v>
      </c>
      <c r="BO100" s="28"/>
      <c r="BP100" s="28">
        <v>374</v>
      </c>
      <c r="BQ100" s="28">
        <v>374</v>
      </c>
      <c r="BR100" s="28">
        <v>374</v>
      </c>
      <c r="BS100" s="23">
        <v>374</v>
      </c>
      <c r="BT100" s="28">
        <v>374</v>
      </c>
      <c r="BU100" s="28">
        <v>374</v>
      </c>
      <c r="BV100" s="28">
        <v>374</v>
      </c>
      <c r="BW100" s="28">
        <v>374</v>
      </c>
      <c r="BX100" s="24">
        <f t="shared" si="61"/>
        <v>0</v>
      </c>
      <c r="BY100" s="25">
        <f t="shared" si="62"/>
        <v>100</v>
      </c>
      <c r="BZ100" s="28">
        <v>374</v>
      </c>
      <c r="CA100" s="28">
        <f>355+46</f>
        <v>401</v>
      </c>
      <c r="CB100" s="28"/>
      <c r="CC100" s="28">
        <f t="shared" si="58"/>
        <v>107.2192513368984</v>
      </c>
      <c r="CD100" s="28">
        <f t="shared" si="59"/>
        <v>107.2192513368984</v>
      </c>
      <c r="CE100" s="28">
        <f t="shared" si="60"/>
        <v>100</v>
      </c>
      <c r="CF100" s="28">
        <v>368.5</v>
      </c>
      <c r="CG100" s="28">
        <v>368.5</v>
      </c>
      <c r="CH100" s="20">
        <f t="shared" si="63"/>
        <v>0</v>
      </c>
      <c r="CI100" s="20">
        <f t="shared" si="64"/>
        <v>100</v>
      </c>
      <c r="CJ100" s="28">
        <v>368.5</v>
      </c>
      <c r="CK100" s="28">
        <v>368.5</v>
      </c>
    </row>
    <row r="101" spans="1:89" ht="21" hidden="1" customHeight="1">
      <c r="A101" s="10"/>
      <c r="B101" s="40" t="s">
        <v>252</v>
      </c>
      <c r="C101" s="28"/>
      <c r="D101" s="28"/>
      <c r="E101" s="28"/>
      <c r="F101" s="28"/>
      <c r="G101" s="28"/>
      <c r="H101" s="28">
        <v>100</v>
      </c>
      <c r="I101" s="28">
        <v>98</v>
      </c>
      <c r="J101" s="28"/>
      <c r="K101" s="28">
        <f>99+690.8</f>
        <v>789.8</v>
      </c>
      <c r="L101" s="28">
        <f>690.82+99</f>
        <v>789.82</v>
      </c>
      <c r="M101" s="28"/>
      <c r="N101" s="28"/>
      <c r="O101" s="28">
        <v>3691</v>
      </c>
      <c r="P101" s="28">
        <v>3690.9980999999998</v>
      </c>
      <c r="Q101" s="28">
        <v>3690.9980999999998</v>
      </c>
      <c r="R101" s="28">
        <v>7007.5</v>
      </c>
      <c r="S101" s="28">
        <v>7007.5</v>
      </c>
      <c r="T101" s="28">
        <v>7007.5</v>
      </c>
      <c r="U101" s="28"/>
      <c r="V101" s="28">
        <v>2010.1</v>
      </c>
      <c r="W101" s="28">
        <v>22682.7</v>
      </c>
      <c r="X101" s="28">
        <v>22598.275020000001</v>
      </c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>
        <f>4437+1809+1935.1</f>
        <v>8181.1</v>
      </c>
      <c r="AL101" s="28">
        <f>4437+3744.07595</f>
        <v>8181.0759500000004</v>
      </c>
      <c r="AM101" s="28"/>
      <c r="AN101" s="28">
        <v>221</v>
      </c>
      <c r="AO101" s="28">
        <v>221</v>
      </c>
      <c r="AP101" s="28">
        <v>221</v>
      </c>
      <c r="AQ101" s="28">
        <v>221</v>
      </c>
      <c r="AR101" s="28">
        <v>221</v>
      </c>
      <c r="AS101" s="28"/>
      <c r="AT101" s="28">
        <f>221+2025+2151.2</f>
        <v>4397.2</v>
      </c>
      <c r="AU101" s="28">
        <f>221+1962.9+2151.2</f>
        <v>4335.1000000000004</v>
      </c>
      <c r="AV101" s="28">
        <f>221+1962.9+2151.2</f>
        <v>4335.1000000000004</v>
      </c>
      <c r="AW101" s="28"/>
      <c r="AX101" s="28">
        <f>221+2000</f>
        <v>2221</v>
      </c>
      <c r="AY101" s="28">
        <v>221</v>
      </c>
      <c r="AZ101" s="28">
        <v>221</v>
      </c>
      <c r="BA101" s="28">
        <f>221+2000</f>
        <v>2221</v>
      </c>
      <c r="BB101" s="28">
        <f>221+2000</f>
        <v>2221</v>
      </c>
      <c r="BC101" s="28">
        <f>1260+3000+1300+2000+221</f>
        <v>7781</v>
      </c>
      <c r="BD101" s="28">
        <f>1260+3000+1300+2000+221</f>
        <v>7781</v>
      </c>
      <c r="BE101" s="28">
        <f>1260+3900+1300+2000+221</f>
        <v>8681</v>
      </c>
      <c r="BF101" s="28"/>
      <c r="BG101" s="28">
        <v>3879</v>
      </c>
      <c r="BH101" s="28">
        <v>3879</v>
      </c>
      <c r="BI101" s="28">
        <v>3879</v>
      </c>
      <c r="BJ101" s="20">
        <f>221+3658+400</f>
        <v>4279</v>
      </c>
      <c r="BK101" s="23">
        <f>221+3658+400</f>
        <v>4279</v>
      </c>
      <c r="BL101" s="28">
        <f>221+3658+350+250+339.9</f>
        <v>4818.8999999999996</v>
      </c>
      <c r="BM101" s="28"/>
      <c r="BN101" s="28">
        <f>221+3658+350+250+339.96</f>
        <v>4818.96</v>
      </c>
      <c r="BO101" s="28"/>
      <c r="BP101" s="28">
        <v>6239.9</v>
      </c>
      <c r="BQ101" s="28">
        <v>1123</v>
      </c>
      <c r="BR101" s="28">
        <v>1123</v>
      </c>
      <c r="BS101" s="23">
        <v>7019.9</v>
      </c>
      <c r="BT101" s="28">
        <f>221+902+5116.9+780</f>
        <v>7019.9</v>
      </c>
      <c r="BU101" s="28">
        <v>3340.1</v>
      </c>
      <c r="BV101" s="28">
        <f>221+1079.1</f>
        <v>1300.0999999999999</v>
      </c>
      <c r="BW101" s="28">
        <v>4700.1000000000004</v>
      </c>
      <c r="BX101" s="24">
        <f t="shared" si="61"/>
        <v>-1539.7999999999993</v>
      </c>
      <c r="BY101" s="25">
        <f t="shared" si="62"/>
        <v>75.32332248914247</v>
      </c>
      <c r="BZ101" s="28">
        <v>3340.1</v>
      </c>
      <c r="CA101" s="28">
        <f>221+3658+350+250+339.96</f>
        <v>4818.96</v>
      </c>
      <c r="CB101" s="28"/>
      <c r="CC101" s="28">
        <f t="shared" si="58"/>
        <v>77.228160707703651</v>
      </c>
      <c r="CD101" s="28">
        <f t="shared" si="59"/>
        <v>102.528882364205</v>
      </c>
      <c r="CE101" s="28">
        <f t="shared" si="60"/>
        <v>100</v>
      </c>
      <c r="CF101" s="28">
        <v>902</v>
      </c>
      <c r="CG101" s="28">
        <v>902</v>
      </c>
      <c r="CH101" s="20">
        <f t="shared" si="63"/>
        <v>0</v>
      </c>
      <c r="CI101" s="20">
        <f t="shared" si="64"/>
        <v>100</v>
      </c>
      <c r="CJ101" s="28">
        <v>902</v>
      </c>
      <c r="CK101" s="28">
        <v>902</v>
      </c>
    </row>
    <row r="102" spans="1:89" ht="21" hidden="1" customHeight="1">
      <c r="A102" s="10"/>
      <c r="B102" s="40" t="s">
        <v>253</v>
      </c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>
        <v>330</v>
      </c>
      <c r="T102" s="28">
        <v>330</v>
      </c>
      <c r="U102" s="28"/>
      <c r="V102" s="28"/>
      <c r="W102" s="28"/>
      <c r="X102" s="28"/>
      <c r="Y102" s="28"/>
      <c r="Z102" s="28"/>
      <c r="AA102" s="28">
        <f>2325.8+25.6+300</f>
        <v>2651.4</v>
      </c>
      <c r="AB102" s="28">
        <f>2325.76689+25.6189+300</f>
        <v>2651.3857899999998</v>
      </c>
      <c r="AC102" s="28"/>
      <c r="AD102" s="28"/>
      <c r="AE102" s="28">
        <f>100+1399.2+155.5</f>
        <v>1654.7</v>
      </c>
      <c r="AF102" s="28">
        <f>100+1399.21875+155.46875</f>
        <v>1654.6875</v>
      </c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>
        <v>675</v>
      </c>
      <c r="BH102" s="28">
        <v>675</v>
      </c>
      <c r="BI102" s="28">
        <v>675</v>
      </c>
      <c r="BJ102" s="20">
        <v>675</v>
      </c>
      <c r="BK102" s="23">
        <v>675</v>
      </c>
      <c r="BL102" s="28">
        <v>589.79999999999995</v>
      </c>
      <c r="BM102" s="28"/>
      <c r="BN102" s="28">
        <v>589.86239999999998</v>
      </c>
      <c r="BO102" s="28"/>
      <c r="BP102" s="28">
        <v>840</v>
      </c>
      <c r="BQ102" s="28">
        <v>840</v>
      </c>
      <c r="BR102" s="28">
        <v>840</v>
      </c>
      <c r="BS102" s="23">
        <v>840</v>
      </c>
      <c r="BT102" s="28">
        <v>840</v>
      </c>
      <c r="BU102" s="28">
        <v>840</v>
      </c>
      <c r="BV102" s="28"/>
      <c r="BW102" s="28">
        <v>840</v>
      </c>
      <c r="BX102" s="24">
        <f t="shared" si="61"/>
        <v>0</v>
      </c>
      <c r="BY102" s="25">
        <f t="shared" si="62"/>
        <v>100</v>
      </c>
      <c r="BZ102" s="28">
        <v>840</v>
      </c>
      <c r="CA102" s="28">
        <v>589.86239999999998</v>
      </c>
      <c r="CB102" s="28"/>
      <c r="CC102" s="28">
        <f t="shared" si="58"/>
        <v>70.221714285714285</v>
      </c>
      <c r="CD102" s="28">
        <f t="shared" si="59"/>
        <v>70.221714285714285</v>
      </c>
      <c r="CE102" s="28">
        <f t="shared" si="60"/>
        <v>100</v>
      </c>
      <c r="CF102" s="28">
        <v>840</v>
      </c>
      <c r="CG102" s="28">
        <v>840</v>
      </c>
      <c r="CH102" s="20">
        <f t="shared" si="63"/>
        <v>0</v>
      </c>
      <c r="CI102" s="20">
        <f t="shared" si="64"/>
        <v>100</v>
      </c>
      <c r="CJ102" s="28">
        <v>840</v>
      </c>
      <c r="CK102" s="28">
        <v>840</v>
      </c>
    </row>
    <row r="103" spans="1:89" ht="21" hidden="1" customHeight="1">
      <c r="A103" s="10"/>
      <c r="B103" s="40" t="s">
        <v>254</v>
      </c>
      <c r="C103" s="28"/>
      <c r="D103" s="28"/>
      <c r="E103" s="28">
        <v>25</v>
      </c>
      <c r="F103" s="28">
        <v>100</v>
      </c>
      <c r="G103" s="28"/>
      <c r="H103" s="28"/>
      <c r="I103" s="28"/>
      <c r="J103" s="28">
        <v>300</v>
      </c>
      <c r="K103" s="28">
        <v>0</v>
      </c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>
        <v>22.5</v>
      </c>
      <c r="AB103" s="28">
        <v>22.5</v>
      </c>
      <c r="AC103" s="28"/>
      <c r="AD103" s="28"/>
      <c r="AE103" s="28"/>
      <c r="AF103" s="28"/>
      <c r="AG103" s="28"/>
      <c r="AH103" s="28">
        <v>737.6</v>
      </c>
      <c r="AI103" s="28">
        <v>221</v>
      </c>
      <c r="AJ103" s="28">
        <v>221</v>
      </c>
      <c r="AK103" s="28">
        <f>1936.5+158</f>
        <v>2094.5</v>
      </c>
      <c r="AL103" s="28">
        <f>1936.5015+158</f>
        <v>2094.5015000000003</v>
      </c>
      <c r="AM103" s="28"/>
      <c r="AN103" s="28"/>
      <c r="AO103" s="28"/>
      <c r="AP103" s="28"/>
      <c r="AQ103" s="28"/>
      <c r="AR103" s="28"/>
      <c r="AS103" s="28"/>
      <c r="AT103" s="28">
        <f>27.1+996.3+35</f>
        <v>1058.4000000000001</v>
      </c>
      <c r="AU103" s="28">
        <f>27.1+996.3+35</f>
        <v>1058.4000000000001</v>
      </c>
      <c r="AV103" s="28">
        <f>35+996.3+27.1</f>
        <v>1058.3999999999999</v>
      </c>
      <c r="AW103" s="28"/>
      <c r="AX103" s="28"/>
      <c r="AY103" s="28"/>
      <c r="AZ103" s="28"/>
      <c r="BA103" s="28"/>
      <c r="BB103" s="28"/>
      <c r="BC103" s="28">
        <v>295</v>
      </c>
      <c r="BD103" s="28">
        <v>295</v>
      </c>
      <c r="BE103" s="28">
        <v>295</v>
      </c>
      <c r="BF103" s="28"/>
      <c r="BG103" s="28"/>
      <c r="BH103" s="28"/>
      <c r="BI103" s="28"/>
      <c r="BJ103" s="20"/>
      <c r="BK103" s="23"/>
      <c r="BL103" s="28"/>
      <c r="BM103" s="28"/>
      <c r="BN103" s="28"/>
      <c r="BO103" s="28"/>
      <c r="BP103" s="28"/>
      <c r="BQ103" s="28"/>
      <c r="BR103" s="28"/>
      <c r="BS103" s="23"/>
      <c r="BT103" s="28">
        <f>300.9+152.3</f>
        <v>453.2</v>
      </c>
      <c r="BU103" s="28">
        <f>300.9+152.3</f>
        <v>453.2</v>
      </c>
      <c r="BV103" s="28">
        <f>300.9+148.7</f>
        <v>449.59999999999997</v>
      </c>
      <c r="BW103" s="28">
        <f>300.9+152.3</f>
        <v>453.2</v>
      </c>
      <c r="BX103" s="24">
        <f t="shared" si="61"/>
        <v>453.2</v>
      </c>
      <c r="BY103" s="25" t="e">
        <f t="shared" si="62"/>
        <v>#DIV/0!</v>
      </c>
      <c r="BZ103" s="28">
        <f>300.9+152.3</f>
        <v>453.2</v>
      </c>
      <c r="CA103" s="28"/>
      <c r="CB103" s="28"/>
      <c r="CC103" s="28" t="e">
        <f t="shared" si="58"/>
        <v>#DIV/0!</v>
      </c>
      <c r="CD103" s="28">
        <f t="shared" si="59"/>
        <v>0</v>
      </c>
      <c r="CE103" s="28" t="e">
        <f t="shared" si="60"/>
        <v>#DIV/0!</v>
      </c>
      <c r="CF103" s="28"/>
      <c r="CG103" s="28"/>
      <c r="CH103" s="20">
        <f t="shared" si="63"/>
        <v>0</v>
      </c>
      <c r="CI103" s="20" t="e">
        <f t="shared" si="64"/>
        <v>#DIV/0!</v>
      </c>
      <c r="CJ103" s="28"/>
      <c r="CK103" s="28"/>
    </row>
    <row r="104" spans="1:89" ht="21" hidden="1" customHeight="1">
      <c r="A104" s="10"/>
      <c r="B104" s="41" t="s">
        <v>255</v>
      </c>
      <c r="C104" s="28"/>
      <c r="D104" s="28"/>
      <c r="E104" s="28"/>
      <c r="F104" s="28">
        <v>68.659000000000006</v>
      </c>
      <c r="G104" s="28"/>
      <c r="H104" s="28"/>
      <c r="I104" s="28"/>
      <c r="J104" s="28"/>
      <c r="K104" s="28">
        <v>260</v>
      </c>
      <c r="L104" s="28">
        <v>260</v>
      </c>
      <c r="M104" s="28"/>
      <c r="N104" s="28"/>
      <c r="O104" s="28"/>
      <c r="P104" s="28"/>
      <c r="Q104" s="28"/>
      <c r="R104" s="28"/>
      <c r="S104" s="28">
        <v>200</v>
      </c>
      <c r="T104" s="28">
        <v>200</v>
      </c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0"/>
      <c r="BK104" s="23"/>
      <c r="BL104" s="28">
        <v>1700</v>
      </c>
      <c r="BM104" s="28"/>
      <c r="BN104" s="28">
        <v>1700</v>
      </c>
      <c r="BO104" s="28"/>
      <c r="BP104" s="28"/>
      <c r="BQ104" s="28"/>
      <c r="BR104" s="28"/>
      <c r="BS104" s="23"/>
      <c r="BT104" s="28">
        <v>80</v>
      </c>
      <c r="BU104" s="28">
        <v>80</v>
      </c>
      <c r="BV104" s="28">
        <v>80</v>
      </c>
      <c r="BW104" s="28">
        <v>80</v>
      </c>
      <c r="BX104" s="24">
        <f t="shared" si="61"/>
        <v>80</v>
      </c>
      <c r="BY104" s="25" t="e">
        <f t="shared" si="62"/>
        <v>#DIV/0!</v>
      </c>
      <c r="BZ104" s="28">
        <v>80</v>
      </c>
      <c r="CA104" s="28">
        <v>1700</v>
      </c>
      <c r="CB104" s="28"/>
      <c r="CC104" s="28" t="e">
        <f t="shared" si="58"/>
        <v>#DIV/0!</v>
      </c>
      <c r="CD104" s="28">
        <f t="shared" si="59"/>
        <v>2125</v>
      </c>
      <c r="CE104" s="28">
        <f t="shared" si="60"/>
        <v>100</v>
      </c>
      <c r="CF104" s="28"/>
      <c r="CG104" s="28"/>
      <c r="CH104" s="20">
        <f t="shared" si="63"/>
        <v>0</v>
      </c>
      <c r="CI104" s="20" t="e">
        <f t="shared" si="64"/>
        <v>#DIV/0!</v>
      </c>
      <c r="CJ104" s="28"/>
      <c r="CK104" s="28"/>
    </row>
    <row r="105" spans="1:89" ht="21" hidden="1" customHeight="1">
      <c r="A105" s="10"/>
      <c r="B105" s="41" t="s">
        <v>226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>
        <v>78</v>
      </c>
      <c r="W105" s="28">
        <v>78</v>
      </c>
      <c r="X105" s="28">
        <v>78</v>
      </c>
      <c r="Y105" s="28"/>
      <c r="Z105" s="28">
        <v>53</v>
      </c>
      <c r="AA105" s="28">
        <v>53</v>
      </c>
      <c r="AB105" s="28">
        <v>53</v>
      </c>
      <c r="AC105" s="28"/>
      <c r="AD105" s="28">
        <v>62.2</v>
      </c>
      <c r="AE105" s="28">
        <v>62.2</v>
      </c>
      <c r="AF105" s="28">
        <v>62.2</v>
      </c>
      <c r="AG105" s="28"/>
      <c r="AH105" s="28">
        <v>59</v>
      </c>
      <c r="AI105" s="28">
        <v>59.5</v>
      </c>
      <c r="AJ105" s="28">
        <v>59.5</v>
      </c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0"/>
      <c r="BK105" s="23"/>
      <c r="BL105" s="28"/>
      <c r="BM105" s="28"/>
      <c r="BN105" s="28"/>
      <c r="BO105" s="28"/>
      <c r="BP105" s="28"/>
      <c r="BQ105" s="28"/>
      <c r="BR105" s="28"/>
      <c r="BS105" s="23"/>
      <c r="BT105" s="28"/>
      <c r="BU105" s="28"/>
      <c r="BV105" s="28"/>
      <c r="BW105" s="28"/>
      <c r="BX105" s="24">
        <f t="shared" si="61"/>
        <v>0</v>
      </c>
      <c r="BY105" s="25" t="e">
        <f t="shared" si="62"/>
        <v>#DIV/0!</v>
      </c>
      <c r="BZ105" s="28"/>
      <c r="CA105" s="28"/>
      <c r="CB105" s="28"/>
      <c r="CC105" s="28" t="e">
        <f t="shared" si="58"/>
        <v>#DIV/0!</v>
      </c>
      <c r="CD105" s="28" t="e">
        <f t="shared" si="59"/>
        <v>#DIV/0!</v>
      </c>
      <c r="CE105" s="28" t="e">
        <f t="shared" si="60"/>
        <v>#DIV/0!</v>
      </c>
      <c r="CF105" s="28"/>
      <c r="CG105" s="28"/>
      <c r="CH105" s="20">
        <f t="shared" si="63"/>
        <v>0</v>
      </c>
      <c r="CI105" s="20" t="e">
        <f t="shared" si="64"/>
        <v>#DIV/0!</v>
      </c>
      <c r="CJ105" s="28"/>
      <c r="CK105" s="28"/>
    </row>
    <row r="106" spans="1:89" ht="21" hidden="1" customHeight="1">
      <c r="A106" s="10"/>
      <c r="B106" s="41" t="s">
        <v>256</v>
      </c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>
        <v>20</v>
      </c>
      <c r="AO106" s="28">
        <v>20</v>
      </c>
      <c r="AP106" s="28">
        <v>20</v>
      </c>
      <c r="AQ106" s="28">
        <v>20</v>
      </c>
      <c r="AR106" s="28">
        <v>20</v>
      </c>
      <c r="AS106" s="28"/>
      <c r="AT106" s="28">
        <v>20</v>
      </c>
      <c r="AU106" s="28">
        <v>20</v>
      </c>
      <c r="AV106" s="28">
        <v>20</v>
      </c>
      <c r="AW106" s="28"/>
      <c r="AX106" s="28">
        <v>20</v>
      </c>
      <c r="AY106" s="28">
        <v>20</v>
      </c>
      <c r="AZ106" s="28">
        <v>20</v>
      </c>
      <c r="BA106" s="28">
        <v>20</v>
      </c>
      <c r="BB106" s="28">
        <v>20</v>
      </c>
      <c r="BC106" s="28">
        <v>20</v>
      </c>
      <c r="BD106" s="28">
        <v>20</v>
      </c>
      <c r="BE106" s="28">
        <v>20</v>
      </c>
      <c r="BF106" s="28"/>
      <c r="BG106" s="28">
        <v>20</v>
      </c>
      <c r="BH106" s="28">
        <v>20</v>
      </c>
      <c r="BI106" s="28">
        <v>20</v>
      </c>
      <c r="BJ106" s="20">
        <v>20</v>
      </c>
      <c r="BK106" s="23">
        <v>20</v>
      </c>
      <c r="BL106" s="28">
        <v>20</v>
      </c>
      <c r="BM106" s="28"/>
      <c r="BN106" s="28">
        <v>20</v>
      </c>
      <c r="BO106" s="28"/>
      <c r="BP106" s="28">
        <v>20</v>
      </c>
      <c r="BQ106" s="28">
        <v>20</v>
      </c>
      <c r="BR106" s="28">
        <v>20</v>
      </c>
      <c r="BS106" s="23">
        <v>20</v>
      </c>
      <c r="BT106" s="28">
        <v>20</v>
      </c>
      <c r="BU106" s="28">
        <v>20</v>
      </c>
      <c r="BV106" s="28">
        <v>20</v>
      </c>
      <c r="BW106" s="28">
        <v>20</v>
      </c>
      <c r="BX106" s="24">
        <f t="shared" si="61"/>
        <v>0</v>
      </c>
      <c r="BY106" s="25">
        <f t="shared" si="62"/>
        <v>100</v>
      </c>
      <c r="BZ106" s="28">
        <v>20</v>
      </c>
      <c r="CA106" s="28">
        <v>20</v>
      </c>
      <c r="CB106" s="28"/>
      <c r="CC106" s="28">
        <f t="shared" si="58"/>
        <v>100</v>
      </c>
      <c r="CD106" s="28">
        <f t="shared" si="59"/>
        <v>100</v>
      </c>
      <c r="CE106" s="28">
        <f t="shared" si="60"/>
        <v>100</v>
      </c>
      <c r="CF106" s="28">
        <v>20</v>
      </c>
      <c r="CG106" s="28">
        <v>20</v>
      </c>
      <c r="CH106" s="20">
        <f t="shared" si="63"/>
        <v>0</v>
      </c>
      <c r="CI106" s="20">
        <f t="shared" si="64"/>
        <v>100</v>
      </c>
      <c r="CJ106" s="28">
        <v>20</v>
      </c>
      <c r="CK106" s="28">
        <v>20</v>
      </c>
    </row>
    <row r="107" spans="1:89" ht="21" hidden="1" customHeight="1">
      <c r="A107" s="10"/>
      <c r="B107" s="41" t="s">
        <v>257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>
        <v>80</v>
      </c>
      <c r="AU107" s="28">
        <v>80</v>
      </c>
      <c r="AV107" s="28">
        <v>80</v>
      </c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  <c r="BJ107" s="20"/>
      <c r="BK107" s="23"/>
      <c r="BL107" s="28"/>
      <c r="BM107" s="28"/>
      <c r="BN107" s="28"/>
      <c r="BO107" s="28"/>
      <c r="BP107" s="28"/>
      <c r="BQ107" s="28"/>
      <c r="BR107" s="28"/>
      <c r="BS107" s="23"/>
      <c r="BT107" s="28">
        <v>150</v>
      </c>
      <c r="BU107" s="28">
        <v>150</v>
      </c>
      <c r="BV107" s="28">
        <v>25</v>
      </c>
      <c r="BW107" s="28">
        <v>112.5</v>
      </c>
      <c r="BX107" s="24">
        <f t="shared" si="61"/>
        <v>112.5</v>
      </c>
      <c r="BY107" s="25" t="e">
        <f t="shared" si="62"/>
        <v>#DIV/0!</v>
      </c>
      <c r="BZ107" s="28">
        <v>150</v>
      </c>
      <c r="CA107" s="28"/>
      <c r="CB107" s="28"/>
      <c r="CC107" s="28" t="e">
        <f t="shared" si="58"/>
        <v>#DIV/0!</v>
      </c>
      <c r="CD107" s="28">
        <f t="shared" si="59"/>
        <v>0</v>
      </c>
      <c r="CE107" s="28" t="e">
        <f t="shared" si="60"/>
        <v>#DIV/0!</v>
      </c>
      <c r="CF107" s="28">
        <v>300</v>
      </c>
      <c r="CG107" s="28">
        <v>300</v>
      </c>
      <c r="CH107" s="20">
        <f t="shared" si="63"/>
        <v>0</v>
      </c>
      <c r="CI107" s="20">
        <f t="shared" si="64"/>
        <v>100</v>
      </c>
      <c r="CJ107" s="28">
        <v>300</v>
      </c>
      <c r="CK107" s="28">
        <v>300</v>
      </c>
    </row>
    <row r="108" spans="1:89" ht="21" hidden="1" customHeight="1">
      <c r="A108" s="10"/>
      <c r="B108" s="41" t="s">
        <v>258</v>
      </c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>
        <v>600</v>
      </c>
      <c r="P108" s="28">
        <v>599.96667000000002</v>
      </c>
      <c r="Q108" s="28">
        <v>599.96667000000002</v>
      </c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>
        <f>360+4635</f>
        <v>4995</v>
      </c>
      <c r="AF108" s="28">
        <f>360+4635</f>
        <v>4995</v>
      </c>
      <c r="AG108" s="28"/>
      <c r="AH108" s="28"/>
      <c r="AI108" s="28"/>
      <c r="AJ108" s="28"/>
      <c r="AK108" s="28">
        <v>17913.900000000001</v>
      </c>
      <c r="AL108" s="28">
        <v>17913.897000000001</v>
      </c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>
        <v>550</v>
      </c>
      <c r="BD108" s="28">
        <v>550</v>
      </c>
      <c r="BE108" s="28">
        <f>550+646.4</f>
        <v>1196.4000000000001</v>
      </c>
      <c r="BF108" s="28"/>
      <c r="BG108" s="28">
        <v>550</v>
      </c>
      <c r="BH108" s="28"/>
      <c r="BI108" s="28"/>
      <c r="BJ108" s="20">
        <v>550</v>
      </c>
      <c r="BK108" s="23">
        <v>550</v>
      </c>
      <c r="BL108" s="28">
        <f>550+2799.7</f>
        <v>3349.7</v>
      </c>
      <c r="BM108" s="28"/>
      <c r="BN108" s="28">
        <f>550+2799.65</f>
        <v>3349.65</v>
      </c>
      <c r="BO108" s="28"/>
      <c r="BP108" s="28"/>
      <c r="BQ108" s="28"/>
      <c r="BR108" s="28"/>
      <c r="BS108" s="23"/>
      <c r="BT108" s="28"/>
      <c r="BU108" s="28">
        <v>2088.8000000000002</v>
      </c>
      <c r="BV108" s="28">
        <v>1143.5999999999999</v>
      </c>
      <c r="BW108" s="28">
        <v>1489.4</v>
      </c>
      <c r="BX108" s="24">
        <f t="shared" si="61"/>
        <v>1489.4</v>
      </c>
      <c r="BY108" s="25" t="e">
        <f t="shared" si="62"/>
        <v>#DIV/0!</v>
      </c>
      <c r="BZ108" s="28">
        <v>2088.8000000000002</v>
      </c>
      <c r="CA108" s="28">
        <f>550+2799.65</f>
        <v>3349.65</v>
      </c>
      <c r="CB108" s="28"/>
      <c r="CC108" s="28" t="e">
        <f t="shared" si="58"/>
        <v>#DIV/0!</v>
      </c>
      <c r="CD108" s="28">
        <f t="shared" si="59"/>
        <v>224.89928830401502</v>
      </c>
      <c r="CE108" s="28">
        <f t="shared" si="60"/>
        <v>100</v>
      </c>
      <c r="CF108" s="28"/>
      <c r="CG108" s="28"/>
      <c r="CH108" s="20">
        <f t="shared" si="63"/>
        <v>0</v>
      </c>
      <c r="CI108" s="20" t="e">
        <f t="shared" si="64"/>
        <v>#DIV/0!</v>
      </c>
      <c r="CJ108" s="28"/>
      <c r="CK108" s="28"/>
    </row>
    <row r="109" spans="1:89" ht="21" hidden="1" customHeight="1">
      <c r="A109" s="10"/>
      <c r="B109" s="41" t="s">
        <v>259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>
        <v>140</v>
      </c>
      <c r="AI109" s="28"/>
      <c r="AJ109" s="28"/>
      <c r="AK109" s="28">
        <v>140</v>
      </c>
      <c r="AL109" s="28">
        <v>140</v>
      </c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0"/>
      <c r="BK109" s="23"/>
      <c r="BL109" s="28"/>
      <c r="BM109" s="28"/>
      <c r="BN109" s="28"/>
      <c r="BO109" s="28"/>
      <c r="BP109" s="28"/>
      <c r="BQ109" s="28"/>
      <c r="BR109" s="28"/>
      <c r="BS109" s="23"/>
      <c r="BT109" s="28"/>
      <c r="BU109" s="28"/>
      <c r="BV109" s="28"/>
      <c r="BW109" s="28"/>
      <c r="BX109" s="24">
        <f t="shared" si="61"/>
        <v>0</v>
      </c>
      <c r="BY109" s="25" t="e">
        <f t="shared" si="62"/>
        <v>#DIV/0!</v>
      </c>
      <c r="BZ109" s="28"/>
      <c r="CA109" s="28"/>
      <c r="CB109" s="28"/>
      <c r="CC109" s="28" t="e">
        <f t="shared" si="58"/>
        <v>#DIV/0!</v>
      </c>
      <c r="CD109" s="28" t="e">
        <f t="shared" si="59"/>
        <v>#DIV/0!</v>
      </c>
      <c r="CE109" s="28" t="e">
        <f t="shared" si="60"/>
        <v>#DIV/0!</v>
      </c>
      <c r="CF109" s="28"/>
      <c r="CG109" s="28"/>
      <c r="CH109" s="20">
        <f t="shared" si="63"/>
        <v>0</v>
      </c>
      <c r="CI109" s="20" t="e">
        <f t="shared" si="64"/>
        <v>#DIV/0!</v>
      </c>
      <c r="CJ109" s="28"/>
      <c r="CK109" s="28"/>
    </row>
    <row r="110" spans="1:89" ht="21" hidden="1" customHeight="1">
      <c r="A110" s="10"/>
      <c r="B110" s="41" t="s">
        <v>260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>
        <v>29.4</v>
      </c>
      <c r="BD110" s="28">
        <v>29.4</v>
      </c>
      <c r="BE110" s="28">
        <v>29.4</v>
      </c>
      <c r="BF110" s="28"/>
      <c r="BG110" s="28"/>
      <c r="BH110" s="28"/>
      <c r="BI110" s="28"/>
      <c r="BJ110" s="20"/>
      <c r="BK110" s="23"/>
      <c r="BL110" s="28"/>
      <c r="BM110" s="28"/>
      <c r="BN110" s="28"/>
      <c r="BO110" s="28"/>
      <c r="BP110" s="28"/>
      <c r="BQ110" s="28"/>
      <c r="BR110" s="28"/>
      <c r="BS110" s="23"/>
      <c r="BT110" s="28"/>
      <c r="BU110" s="28"/>
      <c r="BV110" s="28"/>
      <c r="BW110" s="28"/>
      <c r="BX110" s="24">
        <f t="shared" si="61"/>
        <v>0</v>
      </c>
      <c r="BY110" s="25" t="e">
        <f t="shared" si="62"/>
        <v>#DIV/0!</v>
      </c>
      <c r="BZ110" s="28"/>
      <c r="CA110" s="28"/>
      <c r="CB110" s="28"/>
      <c r="CC110" s="28" t="e">
        <f t="shared" si="58"/>
        <v>#DIV/0!</v>
      </c>
      <c r="CD110" s="28" t="e">
        <f t="shared" si="59"/>
        <v>#DIV/0!</v>
      </c>
      <c r="CE110" s="28" t="e">
        <f t="shared" si="60"/>
        <v>#DIV/0!</v>
      </c>
      <c r="CF110" s="28"/>
      <c r="CG110" s="28"/>
      <c r="CH110" s="20">
        <f t="shared" si="63"/>
        <v>0</v>
      </c>
      <c r="CI110" s="20" t="e">
        <f t="shared" si="64"/>
        <v>#DIV/0!</v>
      </c>
      <c r="CJ110" s="28"/>
      <c r="CK110" s="28"/>
    </row>
    <row r="111" spans="1:89" ht="21" hidden="1" customHeight="1">
      <c r="A111" s="10"/>
      <c r="B111" s="41" t="s">
        <v>261</v>
      </c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>
        <v>600</v>
      </c>
      <c r="S111" s="28">
        <v>600</v>
      </c>
      <c r="T111" s="28">
        <v>600</v>
      </c>
      <c r="U111" s="28"/>
      <c r="V111" s="28"/>
      <c r="W111" s="28"/>
      <c r="X111" s="28"/>
      <c r="Y111" s="28"/>
      <c r="Z111" s="28">
        <v>100</v>
      </c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  <c r="BH111" s="28"/>
      <c r="BI111" s="28"/>
      <c r="BJ111" s="20"/>
      <c r="BK111" s="23"/>
      <c r="BL111" s="28"/>
      <c r="BM111" s="28"/>
      <c r="BN111" s="28"/>
      <c r="BO111" s="28"/>
      <c r="BP111" s="28"/>
      <c r="BQ111" s="28"/>
      <c r="BR111" s="28"/>
      <c r="BS111" s="23"/>
      <c r="BT111" s="28"/>
      <c r="BU111" s="28"/>
      <c r="BV111" s="28"/>
      <c r="BW111" s="28"/>
      <c r="BX111" s="24">
        <f t="shared" si="61"/>
        <v>0</v>
      </c>
      <c r="BY111" s="25" t="e">
        <f t="shared" si="62"/>
        <v>#DIV/0!</v>
      </c>
      <c r="BZ111" s="28"/>
      <c r="CA111" s="28"/>
      <c r="CB111" s="28"/>
      <c r="CC111" s="28" t="e">
        <f t="shared" si="58"/>
        <v>#DIV/0!</v>
      </c>
      <c r="CD111" s="28" t="e">
        <f t="shared" si="59"/>
        <v>#DIV/0!</v>
      </c>
      <c r="CE111" s="28" t="e">
        <f t="shared" si="60"/>
        <v>#DIV/0!</v>
      </c>
      <c r="CF111" s="28"/>
      <c r="CG111" s="28"/>
      <c r="CH111" s="20">
        <f t="shared" si="63"/>
        <v>0</v>
      </c>
      <c r="CI111" s="20" t="e">
        <f t="shared" si="64"/>
        <v>#DIV/0!</v>
      </c>
      <c r="CJ111" s="28"/>
      <c r="CK111" s="28"/>
    </row>
    <row r="112" spans="1:89" ht="21" hidden="1" customHeight="1">
      <c r="A112" s="10"/>
      <c r="B112" s="41" t="s">
        <v>262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>
        <v>876</v>
      </c>
      <c r="O112" s="28">
        <v>876</v>
      </c>
      <c r="P112" s="28">
        <v>876</v>
      </c>
      <c r="Q112" s="28">
        <v>876</v>
      </c>
      <c r="R112" s="28"/>
      <c r="S112" s="28"/>
      <c r="T112" s="28"/>
      <c r="U112" s="28"/>
      <c r="V112" s="28"/>
      <c r="W112" s="28"/>
      <c r="X112" s="28"/>
      <c r="Y112" s="28"/>
      <c r="Z112" s="28"/>
      <c r="AA112" s="28">
        <v>500</v>
      </c>
      <c r="AB112" s="28">
        <v>500</v>
      </c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  <c r="BH112" s="28"/>
      <c r="BI112" s="28"/>
      <c r="BJ112" s="20"/>
      <c r="BK112" s="23"/>
      <c r="BL112" s="28"/>
      <c r="BM112" s="28"/>
      <c r="BN112" s="28"/>
      <c r="BO112" s="28"/>
      <c r="BP112" s="28"/>
      <c r="BQ112" s="28"/>
      <c r="BR112" s="28"/>
      <c r="BS112" s="23"/>
      <c r="BT112" s="28"/>
      <c r="BU112" s="28"/>
      <c r="BV112" s="28"/>
      <c r="BW112" s="28"/>
      <c r="BX112" s="24">
        <f t="shared" si="61"/>
        <v>0</v>
      </c>
      <c r="BY112" s="25" t="e">
        <f t="shared" si="62"/>
        <v>#DIV/0!</v>
      </c>
      <c r="BZ112" s="28"/>
      <c r="CA112" s="28"/>
      <c r="CB112" s="28"/>
      <c r="CC112" s="28" t="e">
        <f t="shared" si="58"/>
        <v>#DIV/0!</v>
      </c>
      <c r="CD112" s="28" t="e">
        <f t="shared" si="59"/>
        <v>#DIV/0!</v>
      </c>
      <c r="CE112" s="28" t="e">
        <f t="shared" si="60"/>
        <v>#DIV/0!</v>
      </c>
      <c r="CF112" s="28"/>
      <c r="CG112" s="28"/>
      <c r="CH112" s="20">
        <f t="shared" si="63"/>
        <v>0</v>
      </c>
      <c r="CI112" s="20" t="e">
        <f t="shared" si="64"/>
        <v>#DIV/0!</v>
      </c>
      <c r="CJ112" s="28"/>
      <c r="CK112" s="28"/>
    </row>
    <row r="113" spans="1:89" ht="21" hidden="1" customHeight="1">
      <c r="A113" s="10"/>
      <c r="B113" s="41" t="s">
        <v>263</v>
      </c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>
        <v>1368.2</v>
      </c>
      <c r="P113" s="28">
        <v>1368.18</v>
      </c>
      <c r="Q113" s="28">
        <v>1368.18</v>
      </c>
      <c r="R113" s="28">
        <v>3400</v>
      </c>
      <c r="S113" s="28">
        <v>3400</v>
      </c>
      <c r="T113" s="28">
        <v>3400</v>
      </c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>
        <v>3500</v>
      </c>
      <c r="AL113" s="28">
        <v>3029.2801199999999</v>
      </c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  <c r="BH113" s="28"/>
      <c r="BI113" s="28"/>
      <c r="BJ113" s="20"/>
      <c r="BK113" s="23"/>
      <c r="BL113" s="28"/>
      <c r="BM113" s="28"/>
      <c r="BN113" s="28"/>
      <c r="BO113" s="28"/>
      <c r="BP113" s="28"/>
      <c r="BQ113" s="28"/>
      <c r="BR113" s="28"/>
      <c r="BS113" s="23"/>
      <c r="BT113" s="28"/>
      <c r="BU113" s="28"/>
      <c r="BV113" s="28"/>
      <c r="BW113" s="28"/>
      <c r="BX113" s="24">
        <f t="shared" si="61"/>
        <v>0</v>
      </c>
      <c r="BY113" s="25" t="e">
        <f t="shared" si="62"/>
        <v>#DIV/0!</v>
      </c>
      <c r="BZ113" s="28"/>
      <c r="CA113" s="28"/>
      <c r="CB113" s="28"/>
      <c r="CC113" s="28" t="e">
        <f t="shared" si="58"/>
        <v>#DIV/0!</v>
      </c>
      <c r="CD113" s="28" t="e">
        <f t="shared" si="59"/>
        <v>#DIV/0!</v>
      </c>
      <c r="CE113" s="28" t="e">
        <f t="shared" si="60"/>
        <v>#DIV/0!</v>
      </c>
      <c r="CF113" s="28"/>
      <c r="CG113" s="28"/>
      <c r="CH113" s="20">
        <f t="shared" si="63"/>
        <v>0</v>
      </c>
      <c r="CI113" s="20" t="e">
        <f t="shared" si="64"/>
        <v>#DIV/0!</v>
      </c>
      <c r="CJ113" s="28"/>
      <c r="CK113" s="28"/>
    </row>
    <row r="114" spans="1:89" ht="21" hidden="1" customHeight="1">
      <c r="A114" s="10"/>
      <c r="B114" s="41" t="s">
        <v>264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>
        <v>100</v>
      </c>
      <c r="AU114" s="28">
        <v>100</v>
      </c>
      <c r="AV114" s="28">
        <v>100</v>
      </c>
      <c r="AW114" s="28"/>
      <c r="AX114" s="28"/>
      <c r="AY114" s="28"/>
      <c r="AZ114" s="28"/>
      <c r="BA114" s="28"/>
      <c r="BB114" s="28"/>
      <c r="BC114" s="28">
        <v>298.60000000000002</v>
      </c>
      <c r="BD114" s="28">
        <v>298.60000000000002</v>
      </c>
      <c r="BE114" s="28">
        <v>298.60000000000002</v>
      </c>
      <c r="BF114" s="28"/>
      <c r="BG114" s="28"/>
      <c r="BH114" s="28"/>
      <c r="BI114" s="28"/>
      <c r="BJ114" s="20"/>
      <c r="BK114" s="23"/>
      <c r="BL114" s="28"/>
      <c r="BM114" s="28"/>
      <c r="BN114" s="28"/>
      <c r="BO114" s="28"/>
      <c r="BP114" s="28"/>
      <c r="BQ114" s="28"/>
      <c r="BR114" s="28"/>
      <c r="BS114" s="23"/>
      <c r="BT114" s="28">
        <v>300</v>
      </c>
      <c r="BU114" s="28">
        <v>300</v>
      </c>
      <c r="BV114" s="28"/>
      <c r="BW114" s="28">
        <v>300</v>
      </c>
      <c r="BX114" s="24">
        <f t="shared" si="61"/>
        <v>300</v>
      </c>
      <c r="BY114" s="25" t="e">
        <f t="shared" si="62"/>
        <v>#DIV/0!</v>
      </c>
      <c r="BZ114" s="28">
        <v>300</v>
      </c>
      <c r="CA114" s="28"/>
      <c r="CB114" s="28"/>
      <c r="CC114" s="28" t="e">
        <f t="shared" si="58"/>
        <v>#DIV/0!</v>
      </c>
      <c r="CD114" s="28">
        <f t="shared" si="59"/>
        <v>0</v>
      </c>
      <c r="CE114" s="28" t="e">
        <f t="shared" si="60"/>
        <v>#DIV/0!</v>
      </c>
      <c r="CF114" s="28"/>
      <c r="CG114" s="28">
        <v>200</v>
      </c>
      <c r="CH114" s="20">
        <f t="shared" si="63"/>
        <v>200</v>
      </c>
      <c r="CI114" s="20" t="e">
        <f t="shared" si="64"/>
        <v>#DIV/0!</v>
      </c>
      <c r="CJ114" s="28"/>
      <c r="CK114" s="28"/>
    </row>
    <row r="115" spans="1:89" ht="21" hidden="1" customHeight="1">
      <c r="A115" s="10"/>
      <c r="B115" s="41" t="s">
        <v>265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  <c r="BH115" s="28"/>
      <c r="BI115" s="28"/>
      <c r="BJ115" s="20"/>
      <c r="BK115" s="23"/>
      <c r="BL115" s="28">
        <v>50</v>
      </c>
      <c r="BM115" s="28"/>
      <c r="BN115" s="28">
        <v>50</v>
      </c>
      <c r="BO115" s="28"/>
      <c r="BP115" s="28"/>
      <c r="BQ115" s="28"/>
      <c r="BR115" s="28"/>
      <c r="BS115" s="23"/>
      <c r="BT115" s="28"/>
      <c r="BU115" s="28">
        <v>50</v>
      </c>
      <c r="BV115" s="28">
        <v>50</v>
      </c>
      <c r="BW115" s="28">
        <v>50</v>
      </c>
      <c r="BX115" s="24">
        <f t="shared" si="61"/>
        <v>50</v>
      </c>
      <c r="BY115" s="25" t="e">
        <f t="shared" si="62"/>
        <v>#DIV/0!</v>
      </c>
      <c r="BZ115" s="28">
        <v>50</v>
      </c>
      <c r="CA115" s="28">
        <v>50</v>
      </c>
      <c r="CB115" s="28"/>
      <c r="CC115" s="28" t="e">
        <f t="shared" si="58"/>
        <v>#DIV/0!</v>
      </c>
      <c r="CD115" s="28">
        <f t="shared" si="59"/>
        <v>100</v>
      </c>
      <c r="CE115" s="28">
        <f t="shared" si="60"/>
        <v>100</v>
      </c>
      <c r="CF115" s="28"/>
      <c r="CG115" s="28"/>
      <c r="CH115" s="20">
        <f t="shared" si="63"/>
        <v>0</v>
      </c>
      <c r="CI115" s="20" t="e">
        <f t="shared" si="64"/>
        <v>#DIV/0!</v>
      </c>
      <c r="CJ115" s="28"/>
      <c r="CK115" s="28"/>
    </row>
    <row r="116" spans="1:89" ht="21" hidden="1" customHeight="1">
      <c r="A116" s="10"/>
      <c r="B116" s="41" t="s">
        <v>266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>
        <v>281</v>
      </c>
      <c r="S116" s="28">
        <v>281</v>
      </c>
      <c r="T116" s="28">
        <v>281</v>
      </c>
      <c r="U116" s="28"/>
      <c r="V116" s="28">
        <v>303</v>
      </c>
      <c r="W116" s="28">
        <v>0</v>
      </c>
      <c r="X116" s="28">
        <v>0</v>
      </c>
      <c r="Y116" s="28"/>
      <c r="Z116" s="28"/>
      <c r="AA116" s="28"/>
      <c r="AB116" s="28"/>
      <c r="AC116" s="28"/>
      <c r="AD116" s="28"/>
      <c r="AE116" s="28"/>
      <c r="AF116" s="28"/>
      <c r="AG116" s="28"/>
      <c r="AH116" s="28">
        <v>115.6</v>
      </c>
      <c r="AI116" s="28">
        <v>115.6</v>
      </c>
      <c r="AJ116" s="28">
        <v>115.6</v>
      </c>
      <c r="AK116" s="28">
        <v>115.6</v>
      </c>
      <c r="AL116" s="28">
        <v>115.6</v>
      </c>
      <c r="AM116" s="28"/>
      <c r="AN116" s="28">
        <v>65.3</v>
      </c>
      <c r="AO116" s="28">
        <v>65.3</v>
      </c>
      <c r="AP116" s="28">
        <v>65.3</v>
      </c>
      <c r="AQ116" s="28">
        <v>65.3</v>
      </c>
      <c r="AR116" s="28">
        <v>65.3</v>
      </c>
      <c r="AS116" s="28"/>
      <c r="AT116" s="28">
        <v>65.3</v>
      </c>
      <c r="AU116" s="28">
        <v>65.3</v>
      </c>
      <c r="AV116" s="28">
        <v>65.3</v>
      </c>
      <c r="AW116" s="28"/>
      <c r="AX116" s="28">
        <v>115</v>
      </c>
      <c r="AY116" s="28">
        <v>115</v>
      </c>
      <c r="AZ116" s="28">
        <v>115</v>
      </c>
      <c r="BA116" s="28">
        <v>115</v>
      </c>
      <c r="BB116" s="28">
        <v>115</v>
      </c>
      <c r="BC116" s="28">
        <v>115</v>
      </c>
      <c r="BD116" s="28">
        <v>115</v>
      </c>
      <c r="BE116" s="28">
        <f>115+568</f>
        <v>683</v>
      </c>
      <c r="BF116" s="28"/>
      <c r="BG116" s="28">
        <v>161</v>
      </c>
      <c r="BH116" s="28">
        <v>161</v>
      </c>
      <c r="BI116" s="28">
        <v>161</v>
      </c>
      <c r="BJ116" s="20">
        <v>161</v>
      </c>
      <c r="BK116" s="23">
        <v>161</v>
      </c>
      <c r="BL116" s="28">
        <v>161</v>
      </c>
      <c r="BM116" s="28"/>
      <c r="BN116" s="28">
        <v>161</v>
      </c>
      <c r="BO116" s="28"/>
      <c r="BP116" s="28">
        <v>418</v>
      </c>
      <c r="BQ116" s="28">
        <v>418</v>
      </c>
      <c r="BR116" s="28">
        <v>418</v>
      </c>
      <c r="BS116" s="23">
        <v>418</v>
      </c>
      <c r="BT116" s="28">
        <v>418</v>
      </c>
      <c r="BU116" s="28">
        <v>418</v>
      </c>
      <c r="BV116" s="28">
        <v>418</v>
      </c>
      <c r="BW116" s="28">
        <v>418</v>
      </c>
      <c r="BX116" s="24">
        <f t="shared" si="61"/>
        <v>0</v>
      </c>
      <c r="BY116" s="25">
        <f t="shared" si="62"/>
        <v>100</v>
      </c>
      <c r="BZ116" s="28">
        <v>418</v>
      </c>
      <c r="CA116" s="28">
        <v>161</v>
      </c>
      <c r="CB116" s="28"/>
      <c r="CC116" s="28">
        <f t="shared" si="58"/>
        <v>38.516746411483254</v>
      </c>
      <c r="CD116" s="28">
        <f t="shared" si="59"/>
        <v>38.516746411483254</v>
      </c>
      <c r="CE116" s="28">
        <f t="shared" si="60"/>
        <v>100</v>
      </c>
      <c r="CF116" s="28"/>
      <c r="CG116" s="28"/>
      <c r="CH116" s="20">
        <f t="shared" si="63"/>
        <v>0</v>
      </c>
      <c r="CI116" s="20" t="e">
        <f t="shared" si="64"/>
        <v>#DIV/0!</v>
      </c>
      <c r="CJ116" s="28"/>
      <c r="CK116" s="28"/>
    </row>
    <row r="117" spans="1:89" ht="21" hidden="1" customHeight="1">
      <c r="A117" s="10"/>
      <c r="B117" s="41" t="s">
        <v>267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>
        <v>91.5</v>
      </c>
      <c r="X117" s="28">
        <v>91.532489999999996</v>
      </c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  <c r="BJ117" s="20"/>
      <c r="BK117" s="23"/>
      <c r="BL117" s="28"/>
      <c r="BM117" s="28"/>
      <c r="BN117" s="28"/>
      <c r="BO117" s="28"/>
      <c r="BP117" s="28"/>
      <c r="BQ117" s="28"/>
      <c r="BR117" s="28"/>
      <c r="BS117" s="23"/>
      <c r="BT117" s="28"/>
      <c r="BU117" s="28"/>
      <c r="BV117" s="28"/>
      <c r="BW117" s="28"/>
      <c r="BX117" s="24">
        <f t="shared" si="61"/>
        <v>0</v>
      </c>
      <c r="BY117" s="25" t="e">
        <f t="shared" si="62"/>
        <v>#DIV/0!</v>
      </c>
      <c r="BZ117" s="28"/>
      <c r="CA117" s="28"/>
      <c r="CB117" s="28"/>
      <c r="CC117" s="28" t="e">
        <f t="shared" si="58"/>
        <v>#DIV/0!</v>
      </c>
      <c r="CD117" s="28" t="e">
        <f t="shared" si="59"/>
        <v>#DIV/0!</v>
      </c>
      <c r="CE117" s="28" t="e">
        <f t="shared" si="60"/>
        <v>#DIV/0!</v>
      </c>
      <c r="CF117" s="28"/>
      <c r="CG117" s="28"/>
      <c r="CH117" s="20">
        <f t="shared" si="63"/>
        <v>0</v>
      </c>
      <c r="CI117" s="20" t="e">
        <f t="shared" si="64"/>
        <v>#DIV/0!</v>
      </c>
      <c r="CJ117" s="28"/>
      <c r="CK117" s="28"/>
    </row>
    <row r="118" spans="1:89" ht="21" hidden="1" customHeight="1">
      <c r="A118" s="10"/>
      <c r="B118" s="41" t="s">
        <v>268</v>
      </c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>
        <v>132.1</v>
      </c>
      <c r="AF118" s="28">
        <v>132.11699999999999</v>
      </c>
      <c r="AG118" s="28"/>
      <c r="AH118" s="28"/>
      <c r="AI118" s="28"/>
      <c r="AJ118" s="28"/>
      <c r="AK118" s="28">
        <v>114</v>
      </c>
      <c r="AL118" s="28">
        <v>114</v>
      </c>
      <c r="AM118" s="28"/>
      <c r="AN118" s="28"/>
      <c r="AO118" s="28"/>
      <c r="AP118" s="28"/>
      <c r="AQ118" s="28"/>
      <c r="AR118" s="28"/>
      <c r="AS118" s="28"/>
      <c r="AT118" s="28">
        <v>219</v>
      </c>
      <c r="AU118" s="28">
        <v>219</v>
      </c>
      <c r="AV118" s="28">
        <v>219</v>
      </c>
      <c r="AW118" s="28"/>
      <c r="AX118" s="28"/>
      <c r="AY118" s="28"/>
      <c r="AZ118" s="28"/>
      <c r="BA118" s="28"/>
      <c r="BB118" s="28"/>
      <c r="BC118" s="28">
        <v>97.7</v>
      </c>
      <c r="BD118" s="28">
        <v>97.7</v>
      </c>
      <c r="BE118" s="28">
        <v>97.7</v>
      </c>
      <c r="BF118" s="28"/>
      <c r="BG118" s="28"/>
      <c r="BH118" s="28"/>
      <c r="BI118" s="28"/>
      <c r="BJ118" s="20"/>
      <c r="BK118" s="23"/>
      <c r="BL118" s="28">
        <v>58.8</v>
      </c>
      <c r="BM118" s="28"/>
      <c r="BN118" s="28">
        <v>58.823999999999998</v>
      </c>
      <c r="BO118" s="28"/>
      <c r="BP118" s="28"/>
      <c r="BQ118" s="28"/>
      <c r="BR118" s="28"/>
      <c r="BS118" s="23"/>
      <c r="BT118" s="28"/>
      <c r="BU118" s="28"/>
      <c r="BV118" s="28"/>
      <c r="BW118" s="28">
        <v>256.5</v>
      </c>
      <c r="BX118" s="24">
        <f t="shared" si="61"/>
        <v>256.5</v>
      </c>
      <c r="BY118" s="25" t="e">
        <f t="shared" si="62"/>
        <v>#DIV/0!</v>
      </c>
      <c r="BZ118" s="28"/>
      <c r="CA118" s="28">
        <v>58.823999999999998</v>
      </c>
      <c r="CB118" s="28"/>
      <c r="CC118" s="28" t="e">
        <f t="shared" si="58"/>
        <v>#DIV/0!</v>
      </c>
      <c r="CD118" s="28">
        <f t="shared" si="59"/>
        <v>22.933333333333334</v>
      </c>
      <c r="CE118" s="28">
        <f t="shared" si="60"/>
        <v>100</v>
      </c>
      <c r="CF118" s="28"/>
      <c r="CG118" s="28"/>
      <c r="CH118" s="20">
        <f t="shared" si="63"/>
        <v>0</v>
      </c>
      <c r="CI118" s="20" t="e">
        <f t="shared" si="64"/>
        <v>#DIV/0!</v>
      </c>
      <c r="CJ118" s="28"/>
      <c r="CK118" s="28"/>
    </row>
    <row r="119" spans="1:89" ht="21" hidden="1" customHeight="1">
      <c r="A119" s="10"/>
      <c r="B119" s="41" t="s">
        <v>269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>
        <v>14513.7</v>
      </c>
      <c r="AU119" s="28">
        <v>19993.7</v>
      </c>
      <c r="AV119" s="28">
        <v>19993.8</v>
      </c>
      <c r="AW119" s="28"/>
      <c r="AX119" s="28">
        <v>16162.1</v>
      </c>
      <c r="AY119" s="28">
        <v>4431.6000000000004</v>
      </c>
      <c r="AZ119" s="28">
        <v>3317.3</v>
      </c>
      <c r="BA119" s="28">
        <v>16162.1</v>
      </c>
      <c r="BB119" s="28">
        <v>16162.1</v>
      </c>
      <c r="BC119" s="28">
        <v>21179.1</v>
      </c>
      <c r="BD119" s="28">
        <v>21179.1</v>
      </c>
      <c r="BE119" s="28">
        <v>21839</v>
      </c>
      <c r="BF119" s="28"/>
      <c r="BG119" s="28">
        <v>9189.4</v>
      </c>
      <c r="BH119" s="28">
        <v>2914.7</v>
      </c>
      <c r="BI119" s="28">
        <v>2307.5</v>
      </c>
      <c r="BJ119" s="20">
        <v>10389.299999999999</v>
      </c>
      <c r="BK119" s="23">
        <v>19123.599999999999</v>
      </c>
      <c r="BL119" s="28">
        <v>24925.1</v>
      </c>
      <c r="BM119" s="28"/>
      <c r="BN119" s="28">
        <v>24924.942800000001</v>
      </c>
      <c r="BO119" s="28"/>
      <c r="BP119" s="28">
        <v>12403.3</v>
      </c>
      <c r="BQ119" s="28">
        <v>6729.4</v>
      </c>
      <c r="BR119" s="28">
        <v>4457.1000000000004</v>
      </c>
      <c r="BS119" s="23"/>
      <c r="BT119" s="28">
        <v>23380.799999999999</v>
      </c>
      <c r="BU119" s="28">
        <v>25888.6</v>
      </c>
      <c r="BV119" s="28">
        <f>BV96-BV97-BV98-BV100-BV101-BV102-BV103-BV104-BV106-BV107-BV108-BV115-BV116</f>
        <v>9910.4999999999982</v>
      </c>
      <c r="BW119" s="28">
        <v>27197</v>
      </c>
      <c r="BX119" s="24">
        <f t="shared" si="61"/>
        <v>14793.7</v>
      </c>
      <c r="BY119" s="25">
        <f t="shared" si="62"/>
        <v>219.27229043883486</v>
      </c>
      <c r="BZ119" s="28">
        <v>25888.6</v>
      </c>
      <c r="CA119" s="28">
        <v>24924.942800000001</v>
      </c>
      <c r="CB119" s="28"/>
      <c r="CC119" s="28">
        <f t="shared" si="58"/>
        <v>200.95412349939133</v>
      </c>
      <c r="CD119" s="28">
        <f t="shared" si="59"/>
        <v>91.645927124315179</v>
      </c>
      <c r="CE119" s="28">
        <f t="shared" si="60"/>
        <v>100</v>
      </c>
      <c r="CF119" s="28">
        <v>10773.4</v>
      </c>
      <c r="CG119" s="28">
        <v>10773.4</v>
      </c>
      <c r="CH119" s="20">
        <f t="shared" si="63"/>
        <v>0</v>
      </c>
      <c r="CI119" s="20">
        <f t="shared" si="64"/>
        <v>100</v>
      </c>
      <c r="CJ119" s="28">
        <v>9719.9</v>
      </c>
      <c r="CK119" s="28">
        <v>9273</v>
      </c>
    </row>
    <row r="120" spans="1:89" ht="22.5" hidden="1" customHeight="1">
      <c r="A120" s="10" t="s">
        <v>270</v>
      </c>
      <c r="B120" s="41" t="s">
        <v>271</v>
      </c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>
        <v>0</v>
      </c>
      <c r="N120" s="28"/>
      <c r="O120" s="28"/>
      <c r="P120" s="28"/>
      <c r="Q120" s="28">
        <v>0</v>
      </c>
      <c r="R120" s="28"/>
      <c r="S120" s="28"/>
      <c r="T120" s="28"/>
      <c r="U120" s="28">
        <v>74239.675010000006</v>
      </c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0"/>
      <c r="BK120" s="23"/>
      <c r="BL120" s="28"/>
      <c r="BM120" s="28"/>
      <c r="BN120" s="28"/>
      <c r="BO120" s="28"/>
      <c r="BP120" s="28"/>
      <c r="BQ120" s="28"/>
      <c r="BR120" s="28"/>
      <c r="BS120" s="23"/>
      <c r="BT120" s="28"/>
      <c r="BU120" s="28"/>
      <c r="BV120" s="28"/>
      <c r="BW120" s="28"/>
      <c r="BX120" s="24">
        <f t="shared" si="61"/>
        <v>0</v>
      </c>
      <c r="BY120" s="25" t="e">
        <f t="shared" si="62"/>
        <v>#DIV/0!</v>
      </c>
      <c r="BZ120" s="28"/>
      <c r="CA120" s="28"/>
      <c r="CB120" s="28"/>
      <c r="CC120" s="28" t="e">
        <f t="shared" si="58"/>
        <v>#DIV/0!</v>
      </c>
      <c r="CD120" s="28" t="e">
        <f t="shared" si="59"/>
        <v>#DIV/0!</v>
      </c>
      <c r="CE120" s="28" t="e">
        <f t="shared" si="60"/>
        <v>#DIV/0!</v>
      </c>
      <c r="CF120" s="28"/>
      <c r="CG120" s="28"/>
      <c r="CH120" s="20">
        <f t="shared" si="63"/>
        <v>0</v>
      </c>
      <c r="CI120" s="20" t="e">
        <f t="shared" si="64"/>
        <v>#DIV/0!</v>
      </c>
      <c r="CJ120" s="28"/>
      <c r="CK120" s="28"/>
    </row>
    <row r="121" spans="1:89" ht="25.5" customHeight="1">
      <c r="A121" s="18" t="s">
        <v>272</v>
      </c>
      <c r="B121" s="19" t="s">
        <v>273</v>
      </c>
      <c r="C121" s="20">
        <f t="shared" ref="C121:AL121" si="76">C122</f>
        <v>0</v>
      </c>
      <c r="D121" s="20">
        <f t="shared" si="76"/>
        <v>0</v>
      </c>
      <c r="E121" s="20">
        <f t="shared" si="76"/>
        <v>0</v>
      </c>
      <c r="F121" s="20">
        <f t="shared" si="76"/>
        <v>0</v>
      </c>
      <c r="G121" s="20">
        <f t="shared" si="76"/>
        <v>0</v>
      </c>
      <c r="H121" s="20">
        <f t="shared" si="76"/>
        <v>0</v>
      </c>
      <c r="I121" s="20">
        <f t="shared" si="76"/>
        <v>0</v>
      </c>
      <c r="J121" s="20">
        <f t="shared" si="76"/>
        <v>0</v>
      </c>
      <c r="K121" s="20">
        <f t="shared" si="76"/>
        <v>242.5</v>
      </c>
      <c r="L121" s="20">
        <f>L122</f>
        <v>242.53899999999999</v>
      </c>
      <c r="M121" s="20">
        <f>M122</f>
        <v>5950.4635799999996</v>
      </c>
      <c r="N121" s="20">
        <f t="shared" si="76"/>
        <v>0</v>
      </c>
      <c r="O121" s="20">
        <f t="shared" si="76"/>
        <v>100</v>
      </c>
      <c r="P121" s="20">
        <f>P122</f>
        <v>100</v>
      </c>
      <c r="Q121" s="20">
        <f>Q122</f>
        <v>16793.878639999999</v>
      </c>
      <c r="R121" s="20">
        <f t="shared" si="76"/>
        <v>0</v>
      </c>
      <c r="S121" s="20">
        <f t="shared" si="76"/>
        <v>50</v>
      </c>
      <c r="T121" s="20">
        <f>T122</f>
        <v>50</v>
      </c>
      <c r="U121" s="20">
        <f>U122</f>
        <v>1184.49161</v>
      </c>
      <c r="V121" s="20">
        <f t="shared" si="76"/>
        <v>0</v>
      </c>
      <c r="W121" s="20">
        <f t="shared" si="76"/>
        <v>0</v>
      </c>
      <c r="X121" s="20">
        <f>X122</f>
        <v>0</v>
      </c>
      <c r="Y121" s="20">
        <f>Y122</f>
        <v>0</v>
      </c>
      <c r="Z121" s="20">
        <f t="shared" si="76"/>
        <v>0</v>
      </c>
      <c r="AA121" s="20">
        <f t="shared" si="76"/>
        <v>0</v>
      </c>
      <c r="AB121" s="20">
        <f>AB122</f>
        <v>0</v>
      </c>
      <c r="AC121" s="20">
        <f>AC122</f>
        <v>164562.53552</v>
      </c>
      <c r="AD121" s="20">
        <f t="shared" si="76"/>
        <v>0</v>
      </c>
      <c r="AE121" s="20">
        <f t="shared" si="76"/>
        <v>0</v>
      </c>
      <c r="AF121" s="20">
        <f t="shared" si="76"/>
        <v>0</v>
      </c>
      <c r="AG121" s="20">
        <f t="shared" si="76"/>
        <v>0</v>
      </c>
      <c r="AH121" s="20">
        <f t="shared" si="76"/>
        <v>0</v>
      </c>
      <c r="AI121" s="20">
        <f t="shared" si="76"/>
        <v>0</v>
      </c>
      <c r="AJ121" s="20">
        <f t="shared" si="76"/>
        <v>0</v>
      </c>
      <c r="AK121" s="20">
        <f t="shared" si="76"/>
        <v>421</v>
      </c>
      <c r="AL121" s="20">
        <f t="shared" si="76"/>
        <v>421</v>
      </c>
      <c r="AM121" s="20">
        <f>AM122+AM123+AM125</f>
        <v>87801.843610000011</v>
      </c>
      <c r="AN121" s="20">
        <f t="shared" ref="AN121:AU121" si="77">AN122</f>
        <v>0</v>
      </c>
      <c r="AO121" s="20">
        <f t="shared" si="77"/>
        <v>0</v>
      </c>
      <c r="AP121" s="20">
        <f t="shared" si="77"/>
        <v>0</v>
      </c>
      <c r="AQ121" s="20">
        <f t="shared" si="77"/>
        <v>0</v>
      </c>
      <c r="AR121" s="20">
        <f t="shared" si="77"/>
        <v>0</v>
      </c>
      <c r="AS121" s="20">
        <f t="shared" si="77"/>
        <v>0</v>
      </c>
      <c r="AT121" s="20">
        <f t="shared" si="77"/>
        <v>0</v>
      </c>
      <c r="AU121" s="20">
        <f t="shared" si="77"/>
        <v>0</v>
      </c>
      <c r="AV121" s="20">
        <f>AV122</f>
        <v>0</v>
      </c>
      <c r="AW121" s="20">
        <f>AW122+AW123+AW125+AW124</f>
        <v>38040.957619999994</v>
      </c>
      <c r="AX121" s="20">
        <f t="shared" ref="AX121:BG121" si="78">AX122</f>
        <v>0</v>
      </c>
      <c r="AY121" s="20">
        <f>AY122</f>
        <v>0</v>
      </c>
      <c r="AZ121" s="20">
        <f>AZ122</f>
        <v>0</v>
      </c>
      <c r="BA121" s="20">
        <f t="shared" si="78"/>
        <v>0</v>
      </c>
      <c r="BB121" s="20">
        <f t="shared" si="78"/>
        <v>0</v>
      </c>
      <c r="BC121" s="20">
        <f t="shared" si="78"/>
        <v>0</v>
      </c>
      <c r="BD121" s="20">
        <f t="shared" si="78"/>
        <v>0</v>
      </c>
      <c r="BE121" s="20">
        <f>BE122</f>
        <v>0</v>
      </c>
      <c r="BF121" s="20">
        <f>BF122+BF123+BF125+BF124</f>
        <v>64250.592539999998</v>
      </c>
      <c r="BG121" s="20">
        <f t="shared" si="78"/>
        <v>0</v>
      </c>
      <c r="BH121" s="20">
        <f t="shared" ref="BH121:BN121" si="79">BH122</f>
        <v>0</v>
      </c>
      <c r="BI121" s="20">
        <f t="shared" si="79"/>
        <v>0</v>
      </c>
      <c r="BJ121" s="21">
        <f t="shared" si="79"/>
        <v>0</v>
      </c>
      <c r="BK121" s="21">
        <f t="shared" si="79"/>
        <v>0</v>
      </c>
      <c r="BL121" s="20">
        <f t="shared" si="79"/>
        <v>0</v>
      </c>
      <c r="BM121" s="20">
        <f t="shared" si="79"/>
        <v>0</v>
      </c>
      <c r="BN121" s="20">
        <f t="shared" si="79"/>
        <v>0</v>
      </c>
      <c r="BO121" s="20">
        <f>BO122+BO123+BO125+BO124</f>
        <v>14598.988679999999</v>
      </c>
      <c r="BP121" s="20">
        <f>BP122</f>
        <v>0</v>
      </c>
      <c r="BQ121" s="20">
        <f>BQ122</f>
        <v>0</v>
      </c>
      <c r="BR121" s="20">
        <f>BR122</f>
        <v>0</v>
      </c>
      <c r="BS121" s="21"/>
      <c r="BT121" s="20"/>
      <c r="BU121" s="20"/>
      <c r="BV121" s="20"/>
      <c r="BW121" s="20"/>
      <c r="BX121" s="24"/>
      <c r="BY121" s="25"/>
      <c r="BZ121" s="20"/>
      <c r="CA121" s="20"/>
      <c r="CB121" s="20">
        <f>CB122+CB123+CB125+CB124</f>
        <v>32778.754529999998</v>
      </c>
      <c r="CC121" s="28"/>
      <c r="CD121" s="28"/>
      <c r="CE121" s="28"/>
      <c r="CF121" s="20">
        <f>CF122</f>
        <v>0</v>
      </c>
      <c r="CG121" s="20">
        <f>CG122</f>
        <v>0</v>
      </c>
      <c r="CH121" s="20">
        <f t="shared" si="63"/>
        <v>0</v>
      </c>
      <c r="CI121" s="20" t="e">
        <f t="shared" si="64"/>
        <v>#DIV/0!</v>
      </c>
      <c r="CJ121" s="20">
        <f>CJ122</f>
        <v>0</v>
      </c>
      <c r="CK121" s="20">
        <f>CK122</f>
        <v>0</v>
      </c>
    </row>
    <row r="122" spans="1:89" ht="22.5" hidden="1" customHeight="1">
      <c r="A122" s="10" t="s">
        <v>274</v>
      </c>
      <c r="B122" s="41" t="s">
        <v>275</v>
      </c>
      <c r="C122" s="28">
        <f>648-648</f>
        <v>0</v>
      </c>
      <c r="D122" s="28">
        <v>0</v>
      </c>
      <c r="E122" s="28">
        <v>0</v>
      </c>
      <c r="F122" s="28">
        <v>0</v>
      </c>
      <c r="G122" s="28">
        <v>0</v>
      </c>
      <c r="H122" s="28">
        <v>0</v>
      </c>
      <c r="I122" s="28">
        <v>0</v>
      </c>
      <c r="J122" s="28">
        <v>0</v>
      </c>
      <c r="K122" s="28">
        <v>242.5</v>
      </c>
      <c r="L122" s="28">
        <v>242.53899999999999</v>
      </c>
      <c r="M122" s="28">
        <f>242.539+5707.92458</f>
        <v>5950.4635799999996</v>
      </c>
      <c r="N122" s="28">
        <v>0</v>
      </c>
      <c r="O122" s="28">
        <v>100</v>
      </c>
      <c r="P122" s="28">
        <v>100</v>
      </c>
      <c r="Q122" s="28">
        <v>16793.878639999999</v>
      </c>
      <c r="R122" s="28">
        <v>0</v>
      </c>
      <c r="S122" s="28">
        <v>50</v>
      </c>
      <c r="T122" s="28">
        <v>50</v>
      </c>
      <c r="U122" s="28">
        <f>1134.49161+50</f>
        <v>1184.49161</v>
      </c>
      <c r="V122" s="28">
        <v>0</v>
      </c>
      <c r="W122" s="28">
        <v>0</v>
      </c>
      <c r="X122" s="28">
        <v>0</v>
      </c>
      <c r="Y122" s="28">
        <v>0</v>
      </c>
      <c r="Z122" s="28">
        <v>0</v>
      </c>
      <c r="AA122" s="28">
        <v>0</v>
      </c>
      <c r="AB122" s="28">
        <v>0</v>
      </c>
      <c r="AC122" s="28">
        <v>164562.53552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>
        <v>0</v>
      </c>
      <c r="AK122" s="28">
        <v>421</v>
      </c>
      <c r="AL122" s="28">
        <v>421</v>
      </c>
      <c r="AM122" s="28">
        <v>421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/>
      <c r="AT122" s="28"/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0</v>
      </c>
      <c r="BC122" s="28">
        <v>0</v>
      </c>
      <c r="BD122" s="28">
        <v>0</v>
      </c>
      <c r="BE122" s="28">
        <v>0</v>
      </c>
      <c r="BF122" s="28">
        <v>0</v>
      </c>
      <c r="BG122" s="28">
        <v>0</v>
      </c>
      <c r="BH122" s="28">
        <v>0</v>
      </c>
      <c r="BI122" s="28">
        <v>0</v>
      </c>
      <c r="BJ122" s="20"/>
      <c r="BK122" s="20"/>
      <c r="BL122" s="28"/>
      <c r="BM122" s="28">
        <v>0</v>
      </c>
      <c r="BN122" s="28">
        <v>0</v>
      </c>
      <c r="BO122" s="28">
        <v>0</v>
      </c>
      <c r="BP122" s="28">
        <v>0</v>
      </c>
      <c r="BQ122" s="28">
        <v>0</v>
      </c>
      <c r="BR122" s="28">
        <v>0</v>
      </c>
      <c r="BS122" s="20"/>
      <c r="BT122" s="28"/>
      <c r="BU122" s="28"/>
      <c r="BV122" s="28"/>
      <c r="BW122" s="28"/>
      <c r="BX122" s="24"/>
      <c r="BY122" s="25"/>
      <c r="BZ122" s="28"/>
      <c r="CA122" s="28"/>
      <c r="CB122" s="28">
        <v>0</v>
      </c>
      <c r="CC122" s="28"/>
      <c r="CD122" s="28"/>
      <c r="CE122" s="28"/>
      <c r="CF122" s="28">
        <v>0</v>
      </c>
      <c r="CG122" s="28">
        <v>0</v>
      </c>
      <c r="CH122" s="20">
        <f t="shared" si="63"/>
        <v>0</v>
      </c>
      <c r="CI122" s="20" t="e">
        <f t="shared" si="64"/>
        <v>#DIV/0!</v>
      </c>
      <c r="CJ122" s="28">
        <v>0</v>
      </c>
      <c r="CK122" s="28">
        <v>0</v>
      </c>
    </row>
    <row r="123" spans="1:89" ht="22.5" hidden="1" customHeight="1">
      <c r="A123" s="10" t="s">
        <v>276</v>
      </c>
      <c r="B123" s="41" t="s">
        <v>277</v>
      </c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>
        <v>101664.91533</v>
      </c>
      <c r="N123" s="28"/>
      <c r="O123" s="28"/>
      <c r="P123" s="28"/>
      <c r="Q123" s="28">
        <f>136878.53135-1507.76166+0.03/1000</f>
        <v>135370.76972000001</v>
      </c>
      <c r="R123" s="28"/>
      <c r="S123" s="28"/>
      <c r="T123" s="28"/>
      <c r="U123" s="28"/>
      <c r="V123" s="28"/>
      <c r="W123" s="28"/>
      <c r="X123" s="28"/>
      <c r="Y123" s="28">
        <v>139466.17444</v>
      </c>
      <c r="Z123" s="28"/>
      <c r="AA123" s="28"/>
      <c r="AB123" s="28"/>
      <c r="AC123" s="28">
        <v>8468.9200099999998</v>
      </c>
      <c r="AD123" s="28"/>
      <c r="AE123" s="28"/>
      <c r="AF123" s="28"/>
      <c r="AG123" s="28">
        <v>59608.670980000003</v>
      </c>
      <c r="AH123" s="28"/>
      <c r="AI123" s="28"/>
      <c r="AJ123" s="28"/>
      <c r="AK123" s="28"/>
      <c r="AL123" s="28"/>
      <c r="AM123" s="28">
        <v>46822.54219</v>
      </c>
      <c r="AN123" s="28"/>
      <c r="AO123" s="28"/>
      <c r="AP123" s="28"/>
      <c r="AQ123" s="28"/>
      <c r="AR123" s="28"/>
      <c r="AS123" s="28"/>
      <c r="AT123" s="28"/>
      <c r="AU123" s="28"/>
      <c r="AV123" s="28"/>
      <c r="AW123" s="28">
        <v>38019.117619999997</v>
      </c>
      <c r="AX123" s="28"/>
      <c r="AY123" s="28"/>
      <c r="AZ123" s="28"/>
      <c r="BA123" s="28"/>
      <c r="BB123" s="28"/>
      <c r="BC123" s="28"/>
      <c r="BD123" s="28"/>
      <c r="BE123" s="28"/>
      <c r="BF123" s="28">
        <v>26522.91676</v>
      </c>
      <c r="BG123" s="28"/>
      <c r="BH123" s="28"/>
      <c r="BI123" s="28"/>
      <c r="BJ123" s="20"/>
      <c r="BK123" s="20"/>
      <c r="BL123" s="28"/>
      <c r="BM123" s="28"/>
      <c r="BN123" s="28"/>
      <c r="BO123" s="28">
        <f>14968.69463+73.19832-731.55678-73.19832</f>
        <v>14237.137849999999</v>
      </c>
      <c r="BP123" s="28"/>
      <c r="BQ123" s="28"/>
      <c r="BR123" s="28"/>
      <c r="BS123" s="20"/>
      <c r="BT123" s="28"/>
      <c r="BU123" s="28"/>
      <c r="BV123" s="28"/>
      <c r="BW123" s="28"/>
      <c r="BX123" s="24">
        <f t="shared" si="61"/>
        <v>0</v>
      </c>
      <c r="BY123" s="25" t="e">
        <f t="shared" si="62"/>
        <v>#DIV/0!</v>
      </c>
      <c r="BZ123" s="28"/>
      <c r="CA123" s="28"/>
      <c r="CB123" s="28">
        <v>32685.88653</v>
      </c>
      <c r="CC123" s="28" t="e">
        <f t="shared" si="58"/>
        <v>#DIV/0!</v>
      </c>
      <c r="CD123" s="28" t="e">
        <f t="shared" si="59"/>
        <v>#DIV/0!</v>
      </c>
      <c r="CE123" s="28" t="e">
        <f t="shared" si="60"/>
        <v>#DIV/0!</v>
      </c>
      <c r="CF123" s="28"/>
      <c r="CG123" s="28"/>
      <c r="CH123" s="20">
        <f t="shared" si="63"/>
        <v>0</v>
      </c>
      <c r="CI123" s="20" t="e">
        <f t="shared" si="64"/>
        <v>#DIV/0!</v>
      </c>
      <c r="CJ123" s="28"/>
      <c r="CK123" s="28"/>
    </row>
    <row r="124" spans="1:89" ht="22.5" hidden="1" customHeight="1">
      <c r="A124" s="10" t="s">
        <v>278</v>
      </c>
      <c r="B124" s="41" t="s">
        <v>279</v>
      </c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>
        <v>21.227</v>
      </c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>
        <v>21.84</v>
      </c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  <c r="BH124" s="28"/>
      <c r="BI124" s="28"/>
      <c r="BJ124" s="20"/>
      <c r="BK124" s="20"/>
      <c r="BL124" s="28"/>
      <c r="BM124" s="28"/>
      <c r="BN124" s="28"/>
      <c r="BO124" s="28">
        <v>48.750900000000001</v>
      </c>
      <c r="BP124" s="28"/>
      <c r="BQ124" s="28"/>
      <c r="BR124" s="28"/>
      <c r="BS124" s="20"/>
      <c r="BT124" s="28"/>
      <c r="BU124" s="28"/>
      <c r="BV124" s="28"/>
      <c r="BW124" s="28"/>
      <c r="BX124" s="24">
        <f t="shared" si="61"/>
        <v>0</v>
      </c>
      <c r="BY124" s="25" t="e">
        <f t="shared" si="62"/>
        <v>#DIV/0!</v>
      </c>
      <c r="BZ124" s="28"/>
      <c r="CA124" s="28"/>
      <c r="CB124" s="28">
        <v>92.867999999999995</v>
      </c>
      <c r="CC124" s="28" t="e">
        <f t="shared" si="58"/>
        <v>#DIV/0!</v>
      </c>
      <c r="CD124" s="28" t="e">
        <f t="shared" si="59"/>
        <v>#DIV/0!</v>
      </c>
      <c r="CE124" s="28" t="e">
        <f t="shared" si="60"/>
        <v>#DIV/0!</v>
      </c>
      <c r="CF124" s="28"/>
      <c r="CG124" s="28"/>
      <c r="CH124" s="20">
        <f t="shared" si="63"/>
        <v>0</v>
      </c>
      <c r="CI124" s="20" t="e">
        <f t="shared" si="64"/>
        <v>#DIV/0!</v>
      </c>
      <c r="CJ124" s="28"/>
      <c r="CK124" s="28"/>
    </row>
    <row r="125" spans="1:89" ht="33.75" hidden="1" customHeight="1">
      <c r="A125" s="10" t="s">
        <v>280</v>
      </c>
      <c r="B125" s="41" t="s">
        <v>281</v>
      </c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>
        <v>40558.301420000003</v>
      </c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>
        <v>37727.675779999998</v>
      </c>
      <c r="BG125" s="28"/>
      <c r="BH125" s="28"/>
      <c r="BI125" s="28"/>
      <c r="BJ125" s="20"/>
      <c r="BK125" s="20"/>
      <c r="BL125" s="28"/>
      <c r="BM125" s="28"/>
      <c r="BN125" s="28"/>
      <c r="BO125" s="28">
        <v>313.09992999999997</v>
      </c>
      <c r="BP125" s="28"/>
      <c r="BQ125" s="28"/>
      <c r="BR125" s="28"/>
      <c r="BS125" s="20"/>
      <c r="BT125" s="28"/>
      <c r="BU125" s="28"/>
      <c r="BV125" s="28"/>
      <c r="BW125" s="28"/>
      <c r="BX125" s="24">
        <f t="shared" si="61"/>
        <v>0</v>
      </c>
      <c r="BY125" s="25" t="e">
        <f t="shared" si="62"/>
        <v>#DIV/0!</v>
      </c>
      <c r="BZ125" s="28"/>
      <c r="CA125" s="28"/>
      <c r="CB125" s="28"/>
      <c r="CC125" s="28" t="e">
        <f t="shared" si="58"/>
        <v>#DIV/0!</v>
      </c>
      <c r="CD125" s="28" t="e">
        <f t="shared" si="59"/>
        <v>#DIV/0!</v>
      </c>
      <c r="CE125" s="28" t="e">
        <f t="shared" si="60"/>
        <v>#DIV/0!</v>
      </c>
      <c r="CF125" s="28"/>
      <c r="CG125" s="28"/>
      <c r="CH125" s="20">
        <f t="shared" si="63"/>
        <v>0</v>
      </c>
      <c r="CI125" s="20" t="e">
        <f t="shared" si="64"/>
        <v>#DIV/0!</v>
      </c>
      <c r="CJ125" s="28"/>
      <c r="CK125" s="28"/>
    </row>
    <row r="126" spans="1:89" ht="22.5" hidden="1" customHeight="1">
      <c r="A126" s="10" t="s">
        <v>282</v>
      </c>
      <c r="B126" s="41" t="s">
        <v>283</v>
      </c>
      <c r="C126" s="28">
        <v>0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-470.7</v>
      </c>
      <c r="AR126" s="28">
        <v>-470.7</v>
      </c>
      <c r="AS126" s="28">
        <v>-470.7</v>
      </c>
      <c r="AT126" s="28">
        <v>-470.7</v>
      </c>
      <c r="AU126" s="28">
        <v>-470.7</v>
      </c>
      <c r="AV126" s="28">
        <v>-470.71987999999999</v>
      </c>
      <c r="AW126" s="28">
        <v>-470.71987999999999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/>
      <c r="BG126" s="28">
        <v>0</v>
      </c>
      <c r="BH126" s="28">
        <v>0</v>
      </c>
      <c r="BI126" s="28">
        <v>0</v>
      </c>
      <c r="BJ126" s="20"/>
      <c r="BK126" s="20"/>
      <c r="BL126" s="28"/>
      <c r="BM126" s="28">
        <v>0</v>
      </c>
      <c r="BN126" s="28">
        <v>0</v>
      </c>
      <c r="BO126" s="28"/>
      <c r="BP126" s="28">
        <v>0</v>
      </c>
      <c r="BQ126" s="28">
        <v>0</v>
      </c>
      <c r="BR126" s="28">
        <v>0</v>
      </c>
      <c r="BS126" s="20"/>
      <c r="BT126" s="28"/>
      <c r="BU126" s="28"/>
      <c r="BV126" s="28"/>
      <c r="BW126" s="28"/>
      <c r="BX126" s="24">
        <f t="shared" si="61"/>
        <v>0</v>
      </c>
      <c r="BY126" s="25" t="e">
        <f t="shared" si="62"/>
        <v>#DIV/0!</v>
      </c>
      <c r="BZ126" s="28"/>
      <c r="CA126" s="28">
        <v>0</v>
      </c>
      <c r="CB126" s="28"/>
      <c r="CC126" s="28" t="e">
        <f t="shared" si="58"/>
        <v>#DIV/0!</v>
      </c>
      <c r="CD126" s="28" t="e">
        <f t="shared" si="59"/>
        <v>#DIV/0!</v>
      </c>
      <c r="CE126" s="28" t="e">
        <f t="shared" si="60"/>
        <v>#DIV/0!</v>
      </c>
      <c r="CF126" s="28">
        <v>0</v>
      </c>
      <c r="CG126" s="28">
        <v>0</v>
      </c>
      <c r="CH126" s="20">
        <f t="shared" si="63"/>
        <v>0</v>
      </c>
      <c r="CI126" s="20" t="e">
        <f t="shared" si="64"/>
        <v>#DIV/0!</v>
      </c>
      <c r="CJ126" s="28">
        <v>0</v>
      </c>
      <c r="CK126" s="28">
        <v>0</v>
      </c>
    </row>
    <row r="127" spans="1:89" ht="27" customHeight="1">
      <c r="A127" s="9" t="s">
        <v>284</v>
      </c>
      <c r="B127" s="9"/>
      <c r="C127" s="20">
        <f t="shared" ref="C127:BN127" si="80">+C69+C6</f>
        <v>47558.023929999996</v>
      </c>
      <c r="D127" s="20">
        <f t="shared" si="80"/>
        <v>39079.600000000006</v>
      </c>
      <c r="E127" s="20">
        <f t="shared" si="80"/>
        <v>65432.3</v>
      </c>
      <c r="F127" s="20">
        <f t="shared" si="80"/>
        <v>61313.054100000001</v>
      </c>
      <c r="G127" s="20">
        <f t="shared" si="80"/>
        <v>43106.9</v>
      </c>
      <c r="H127" s="20">
        <f t="shared" si="80"/>
        <v>53136.200000000004</v>
      </c>
      <c r="I127" s="20">
        <f t="shared" si="80"/>
        <v>52322.151769999997</v>
      </c>
      <c r="J127" s="20">
        <f t="shared" si="80"/>
        <v>43424.4</v>
      </c>
      <c r="K127" s="20">
        <f t="shared" si="80"/>
        <v>50857</v>
      </c>
      <c r="L127" s="20">
        <f t="shared" si="80"/>
        <v>50257.007689999999</v>
      </c>
      <c r="M127" s="20">
        <f t="shared" si="80"/>
        <v>156364.17963000003</v>
      </c>
      <c r="N127" s="20">
        <f t="shared" si="80"/>
        <v>44290.3</v>
      </c>
      <c r="O127" s="20">
        <f t="shared" si="80"/>
        <v>56810.9</v>
      </c>
      <c r="P127" s="20">
        <f t="shared" si="80"/>
        <v>55330.346720000001</v>
      </c>
      <c r="Q127" s="20">
        <f t="shared" si="80"/>
        <v>163494.12627000001</v>
      </c>
      <c r="R127" s="20">
        <f t="shared" si="80"/>
        <v>54924.4</v>
      </c>
      <c r="S127" s="20">
        <f t="shared" si="80"/>
        <v>59194</v>
      </c>
      <c r="T127" s="20">
        <f t="shared" si="80"/>
        <v>59255.160210000002</v>
      </c>
      <c r="U127" s="20">
        <f t="shared" si="80"/>
        <v>125251.30763</v>
      </c>
      <c r="V127" s="20">
        <f t="shared" si="80"/>
        <v>48401.302009999999</v>
      </c>
      <c r="W127" s="20">
        <f t="shared" si="80"/>
        <v>75778.100000000006</v>
      </c>
      <c r="X127" s="20">
        <f t="shared" si="80"/>
        <v>75853.324210000006</v>
      </c>
      <c r="Y127" s="20">
        <f t="shared" si="80"/>
        <v>215280.99731000001</v>
      </c>
      <c r="Z127" s="20">
        <f t="shared" si="80"/>
        <v>47377.702010000001</v>
      </c>
      <c r="AA127" s="20">
        <f t="shared" si="80"/>
        <v>58040.439999999995</v>
      </c>
      <c r="AB127" s="20">
        <f t="shared" si="80"/>
        <v>59416.625889999996</v>
      </c>
      <c r="AC127" s="20">
        <f t="shared" si="80"/>
        <v>234647.80937999999</v>
      </c>
      <c r="AD127" s="20">
        <f t="shared" si="80"/>
        <v>49649.102010000002</v>
      </c>
      <c r="AE127" s="20">
        <f t="shared" si="80"/>
        <v>61107.199999999997</v>
      </c>
      <c r="AF127" s="20">
        <f t="shared" si="80"/>
        <v>61617.876949999991</v>
      </c>
      <c r="AG127" s="20">
        <f t="shared" si="80"/>
        <v>89249.060919999989</v>
      </c>
      <c r="AH127" s="20">
        <f t="shared" si="80"/>
        <v>54211.402010000005</v>
      </c>
      <c r="AI127" s="20">
        <f t="shared" si="80"/>
        <v>53303.802009999999</v>
      </c>
      <c r="AJ127" s="20">
        <f t="shared" si="80"/>
        <v>53316.902009999998</v>
      </c>
      <c r="AK127" s="20">
        <f t="shared" si="80"/>
        <v>100905.9</v>
      </c>
      <c r="AL127" s="20">
        <f t="shared" si="80"/>
        <v>100981.48639000001</v>
      </c>
      <c r="AM127" s="20">
        <f t="shared" si="80"/>
        <v>267888.34791999997</v>
      </c>
      <c r="AN127" s="20">
        <f t="shared" si="80"/>
        <v>51967.002010000004</v>
      </c>
      <c r="AO127" s="20">
        <f t="shared" si="80"/>
        <v>51973.002010000004</v>
      </c>
      <c r="AP127" s="20">
        <f t="shared" si="80"/>
        <v>51979.002010000004</v>
      </c>
      <c r="AQ127" s="20">
        <f t="shared" si="80"/>
        <v>66743.399999999994</v>
      </c>
      <c r="AR127" s="20">
        <f t="shared" si="80"/>
        <v>71002.8</v>
      </c>
      <c r="AS127" s="20">
        <f t="shared" si="80"/>
        <v>65726.100000000006</v>
      </c>
      <c r="AT127" s="20">
        <f t="shared" si="80"/>
        <v>69012.400000000009</v>
      </c>
      <c r="AU127" s="20">
        <f t="shared" si="80"/>
        <v>76253.700000000012</v>
      </c>
      <c r="AV127" s="20">
        <f t="shared" si="80"/>
        <v>77475.654390000011</v>
      </c>
      <c r="AW127" s="20">
        <f t="shared" si="80"/>
        <v>107298.8652</v>
      </c>
      <c r="AX127" s="20">
        <f t="shared" si="80"/>
        <v>66286.602010000002</v>
      </c>
      <c r="AY127" s="20">
        <f t="shared" si="80"/>
        <v>50940.402010000005</v>
      </c>
      <c r="AZ127" s="20">
        <f t="shared" si="80"/>
        <v>50956.702010000001</v>
      </c>
      <c r="BA127" s="20">
        <f t="shared" si="80"/>
        <v>71202.600000000006</v>
      </c>
      <c r="BB127" s="20">
        <f t="shared" si="80"/>
        <v>77780.5</v>
      </c>
      <c r="BC127" s="20">
        <f t="shared" si="80"/>
        <v>67115.399999999994</v>
      </c>
      <c r="BD127" s="20">
        <f t="shared" si="80"/>
        <v>92731.8</v>
      </c>
      <c r="BE127" s="20">
        <f t="shared" si="80"/>
        <v>93753.443560000014</v>
      </c>
      <c r="BF127" s="20">
        <f t="shared" si="80"/>
        <v>132028.51546000002</v>
      </c>
      <c r="BG127" s="20">
        <f t="shared" si="80"/>
        <v>65068.802009999999</v>
      </c>
      <c r="BH127" s="20">
        <f t="shared" si="80"/>
        <v>57541.602010000002</v>
      </c>
      <c r="BI127" s="20">
        <f t="shared" si="80"/>
        <v>57565.702010000001</v>
      </c>
      <c r="BJ127" s="20">
        <f t="shared" si="80"/>
        <v>67361.400000000009</v>
      </c>
      <c r="BK127" s="20">
        <f t="shared" si="80"/>
        <v>87520</v>
      </c>
      <c r="BL127" s="20">
        <f t="shared" si="80"/>
        <v>103741.1</v>
      </c>
      <c r="BM127" s="20">
        <f t="shared" si="80"/>
        <v>102296.70201000001</v>
      </c>
      <c r="BN127" s="20">
        <f t="shared" si="80"/>
        <v>106340.91590999998</v>
      </c>
      <c r="BO127" s="20">
        <f t="shared" ref="BO127:BV127" si="81">+BO69+BO6</f>
        <v>114013.58436999998</v>
      </c>
      <c r="BP127" s="20">
        <f t="shared" si="81"/>
        <v>72244.902009999991</v>
      </c>
      <c r="BQ127" s="20">
        <f t="shared" si="81"/>
        <v>62124.102010000002</v>
      </c>
      <c r="BR127" s="20">
        <f t="shared" si="81"/>
        <v>62199.602010000002</v>
      </c>
      <c r="BS127" s="20">
        <f t="shared" si="81"/>
        <v>73156.099999999991</v>
      </c>
      <c r="BT127" s="20">
        <f t="shared" si="81"/>
        <v>102750.29999999999</v>
      </c>
      <c r="BU127" s="20">
        <f t="shared" si="81"/>
        <v>104672.5</v>
      </c>
      <c r="BV127" s="20">
        <f t="shared" si="81"/>
        <v>64010.499999999993</v>
      </c>
      <c r="BW127" s="20">
        <f>+BW69+BW6</f>
        <v>107994.6</v>
      </c>
      <c r="BX127" s="24">
        <f t="shared" si="61"/>
        <v>35749.697990000015</v>
      </c>
      <c r="BY127" s="25">
        <f t="shared" si="62"/>
        <v>149.48404246579449</v>
      </c>
      <c r="BZ127" s="20">
        <f>+BZ69+BZ6</f>
        <v>106262.9</v>
      </c>
      <c r="CA127" s="20">
        <f>+CA69+CA6</f>
        <v>106870.97051999999</v>
      </c>
      <c r="CB127" s="20">
        <f>+CB69+CB6</f>
        <v>127700.44842</v>
      </c>
      <c r="CC127" s="28">
        <f t="shared" si="58"/>
        <v>147.92873621062859</v>
      </c>
      <c r="CD127" s="28">
        <f t="shared" si="59"/>
        <v>98.959550310848854</v>
      </c>
      <c r="CE127" s="28">
        <f t="shared" si="60"/>
        <v>100.49844841514117</v>
      </c>
      <c r="CF127" s="20">
        <f>+CF69+CF6</f>
        <v>70216.802010000014</v>
      </c>
      <c r="CG127" s="20">
        <f>+CG69+CG6</f>
        <v>78416.802010000014</v>
      </c>
      <c r="CH127" s="20">
        <f t="shared" si="63"/>
        <v>8200</v>
      </c>
      <c r="CI127" s="20">
        <f t="shared" si="64"/>
        <v>111.67811658359517</v>
      </c>
      <c r="CJ127" s="20">
        <f>+CJ69+CJ6</f>
        <v>68630.602010000002</v>
      </c>
      <c r="CK127" s="20">
        <f>+CK69+CK6</f>
        <v>70146.402009999991</v>
      </c>
    </row>
    <row r="128" spans="1:89" ht="22.5" customHeight="1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  <c r="BH128" s="46"/>
      <c r="BI128" s="46"/>
      <c r="BJ128" s="46"/>
      <c r="BK128" s="46"/>
      <c r="BL128" s="46"/>
      <c r="BM128" s="46"/>
      <c r="BN128" s="46"/>
      <c r="BO128" s="46"/>
      <c r="BP128" s="46"/>
      <c r="BQ128" s="46"/>
      <c r="BR128" s="46"/>
      <c r="BS128" s="46"/>
      <c r="BT128" s="46"/>
      <c r="BU128" s="46"/>
      <c r="BV128" s="46"/>
      <c r="BW128" s="46"/>
      <c r="BX128" s="1"/>
      <c r="BY128" s="1"/>
      <c r="BZ128" s="46"/>
      <c r="CA128" s="46"/>
      <c r="CB128" s="46"/>
      <c r="CC128" s="49"/>
      <c r="CD128" s="49"/>
      <c r="CE128" s="49"/>
      <c r="CF128" s="46"/>
      <c r="CG128" s="46"/>
      <c r="CH128" s="46"/>
      <c r="CI128" s="46"/>
      <c r="CJ128" s="46"/>
      <c r="CK128" s="46"/>
    </row>
    <row r="129" spans="1:89" ht="22.5" customHeight="1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  <c r="AP129" s="46"/>
      <c r="AU129" s="46"/>
      <c r="AV129" s="46"/>
      <c r="AW129" s="46"/>
      <c r="AX129" s="46"/>
      <c r="AY129" s="46"/>
      <c r="AZ129" s="46"/>
      <c r="BA129" s="46"/>
      <c r="BB129" s="46"/>
      <c r="BC129" s="46"/>
      <c r="BD129" s="46"/>
      <c r="BE129" s="46"/>
      <c r="BF129" s="46"/>
      <c r="BG129" s="46"/>
      <c r="BH129" s="46"/>
      <c r="BI129" s="46"/>
      <c r="BJ129" s="46"/>
      <c r="BK129" s="46"/>
      <c r="BL129" s="46"/>
      <c r="BM129" s="46"/>
      <c r="BN129" s="46"/>
      <c r="BO129" s="46"/>
      <c r="BP129" s="46"/>
      <c r="BQ129" s="46"/>
      <c r="BR129" s="46"/>
      <c r="BS129" s="46"/>
      <c r="BT129" s="46"/>
      <c r="BU129" s="46"/>
      <c r="BV129" s="46"/>
      <c r="BW129" s="46"/>
      <c r="BX129" s="1"/>
      <c r="BY129" s="1"/>
      <c r="BZ129" s="46"/>
      <c r="CA129" s="46"/>
      <c r="CB129" s="46"/>
      <c r="CC129" s="49"/>
      <c r="CD129" s="49"/>
      <c r="CE129" s="49"/>
      <c r="CF129" s="46"/>
      <c r="CG129" s="46"/>
      <c r="CH129" s="46"/>
      <c r="CI129" s="46"/>
      <c r="CJ129" s="46"/>
      <c r="CK129" s="46"/>
    </row>
    <row r="130" spans="1:89" ht="22.5" customHeight="1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  <c r="BE130" s="46"/>
      <c r="BF130" s="46"/>
      <c r="BG130" s="46"/>
      <c r="BH130" s="46"/>
      <c r="BI130" s="46"/>
      <c r="BJ130" s="46"/>
      <c r="BK130" s="46"/>
      <c r="BL130" s="46"/>
      <c r="BM130" s="46"/>
      <c r="BN130" s="46"/>
      <c r="BO130" s="46"/>
      <c r="BP130" s="46"/>
      <c r="BQ130" s="46"/>
      <c r="BR130" s="46"/>
      <c r="BS130" s="46"/>
      <c r="BT130" s="46"/>
      <c r="BU130" s="46"/>
      <c r="BV130" s="46"/>
      <c r="BW130" s="46"/>
      <c r="BX130" s="1"/>
      <c r="BY130" s="1"/>
      <c r="BZ130" s="46"/>
      <c r="CA130" s="46"/>
      <c r="CB130" s="46"/>
      <c r="CC130" s="49"/>
      <c r="CD130" s="49"/>
      <c r="CE130" s="49"/>
      <c r="CF130" s="46"/>
      <c r="CG130" s="46"/>
      <c r="CH130" s="46"/>
      <c r="CI130" s="46"/>
      <c r="CJ130" s="46"/>
      <c r="CK130" s="46"/>
    </row>
    <row r="131" spans="1:89" ht="22.5" customHeight="1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U131" s="46"/>
      <c r="AV131" s="46"/>
      <c r="AW131" s="46"/>
      <c r="AX131" s="46"/>
      <c r="AY131" s="46"/>
      <c r="AZ131" s="46"/>
      <c r="BA131" s="46"/>
      <c r="BB131" s="46"/>
      <c r="BC131" s="46"/>
      <c r="BD131" s="46"/>
      <c r="BE131" s="46"/>
      <c r="BF131" s="46"/>
      <c r="BG131" s="46"/>
      <c r="BH131" s="46"/>
      <c r="BI131" s="46"/>
      <c r="BJ131" s="46"/>
      <c r="BK131" s="46"/>
      <c r="BL131" s="46"/>
      <c r="BM131" s="46"/>
      <c r="BN131" s="46"/>
      <c r="BO131" s="46"/>
      <c r="BP131" s="46"/>
      <c r="BQ131" s="46"/>
      <c r="BR131" s="46"/>
      <c r="BS131" s="46"/>
      <c r="BT131" s="46"/>
      <c r="BU131" s="46"/>
      <c r="BV131" s="46"/>
      <c r="BW131" s="46"/>
      <c r="BX131" s="1"/>
      <c r="BY131" s="1"/>
      <c r="BZ131" s="46"/>
      <c r="CA131" s="46"/>
      <c r="CB131" s="46"/>
      <c r="CC131" s="49"/>
      <c r="CD131" s="49"/>
      <c r="CE131" s="49"/>
      <c r="CF131" s="46"/>
      <c r="CG131" s="46"/>
      <c r="CH131" s="46"/>
      <c r="CI131" s="46"/>
      <c r="CJ131" s="46"/>
      <c r="CK131" s="46"/>
    </row>
    <row r="132" spans="1:89" ht="22.5" customHeight="1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  <c r="AJ132" s="46"/>
      <c r="AK132" s="46"/>
      <c r="AL132" s="46"/>
      <c r="AM132" s="46"/>
      <c r="AN132" s="46"/>
      <c r="AO132" s="46"/>
      <c r="AP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  <c r="BJ132" s="46"/>
      <c r="BK132" s="46"/>
      <c r="BL132" s="46"/>
      <c r="BM132" s="46"/>
      <c r="BN132" s="46"/>
      <c r="BO132" s="46"/>
      <c r="BP132" s="46"/>
      <c r="BQ132" s="46"/>
      <c r="BR132" s="46"/>
      <c r="BS132" s="46"/>
      <c r="BT132" s="46"/>
      <c r="BU132" s="46"/>
      <c r="BV132" s="46"/>
      <c r="BW132" s="46"/>
      <c r="BX132" s="1"/>
      <c r="BY132" s="1"/>
      <c r="BZ132" s="46"/>
      <c r="CA132" s="46"/>
      <c r="CB132" s="46"/>
      <c r="CC132" s="49"/>
      <c r="CD132" s="49"/>
      <c r="CE132" s="49"/>
      <c r="CF132" s="46"/>
      <c r="CG132" s="46"/>
      <c r="CH132" s="46"/>
      <c r="CI132" s="46"/>
      <c r="CJ132" s="46"/>
      <c r="CK132" s="46"/>
    </row>
    <row r="133" spans="1:89" ht="22.5" customHeight="1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  <c r="AJ133" s="46"/>
      <c r="AK133" s="46"/>
      <c r="AL133" s="46"/>
      <c r="AM133" s="46"/>
      <c r="AN133" s="46"/>
      <c r="AO133" s="46"/>
      <c r="AP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  <c r="BH133" s="46"/>
      <c r="BI133" s="46"/>
      <c r="BJ133" s="46"/>
      <c r="BK133" s="46"/>
      <c r="BL133" s="46"/>
      <c r="BM133" s="46"/>
      <c r="BN133" s="46"/>
      <c r="BO133" s="46"/>
      <c r="BP133" s="46"/>
      <c r="BQ133" s="46"/>
      <c r="BR133" s="46"/>
      <c r="BS133" s="46"/>
      <c r="BT133" s="46"/>
      <c r="BU133" s="46"/>
      <c r="BV133" s="46"/>
      <c r="BW133" s="46"/>
      <c r="BX133" s="1"/>
      <c r="BY133" s="1"/>
      <c r="BZ133" s="46"/>
      <c r="CA133" s="46"/>
      <c r="CB133" s="46"/>
      <c r="CC133" s="49"/>
      <c r="CD133" s="49"/>
      <c r="CE133" s="49"/>
      <c r="CF133" s="46"/>
      <c r="CG133" s="46"/>
      <c r="CH133" s="46"/>
      <c r="CI133" s="46"/>
      <c r="CJ133" s="46"/>
      <c r="CK133" s="46"/>
    </row>
    <row r="134" spans="1:89" ht="22.5" customHeight="1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  <c r="AJ134" s="46"/>
      <c r="AK134" s="46"/>
      <c r="AL134" s="46"/>
      <c r="AM134" s="46"/>
      <c r="AN134" s="46"/>
      <c r="AO134" s="46"/>
      <c r="AP134" s="46"/>
      <c r="AU134" s="46"/>
      <c r="AV134" s="46"/>
      <c r="AW134" s="46"/>
      <c r="AX134" s="46"/>
      <c r="AY134" s="46"/>
      <c r="AZ134" s="46"/>
      <c r="BA134" s="46"/>
      <c r="BB134" s="46"/>
      <c r="BC134" s="46"/>
      <c r="BD134" s="46"/>
      <c r="BE134" s="46"/>
      <c r="BF134" s="46"/>
      <c r="BG134" s="46"/>
      <c r="BH134" s="46"/>
      <c r="BI134" s="46"/>
      <c r="BJ134" s="46"/>
      <c r="BK134" s="46"/>
      <c r="BL134" s="46"/>
      <c r="BM134" s="46"/>
      <c r="BN134" s="46"/>
      <c r="BO134" s="46"/>
      <c r="BP134" s="46"/>
      <c r="BQ134" s="46"/>
      <c r="BR134" s="46"/>
      <c r="BS134" s="46"/>
      <c r="BT134" s="46"/>
      <c r="BU134" s="46"/>
      <c r="BV134" s="46"/>
      <c r="BW134" s="46"/>
      <c r="BX134" s="1"/>
      <c r="BY134" s="1"/>
      <c r="BZ134" s="46"/>
      <c r="CA134" s="46"/>
      <c r="CB134" s="46"/>
      <c r="CC134" s="49"/>
      <c r="CD134" s="49"/>
      <c r="CE134" s="49"/>
      <c r="CF134" s="46"/>
      <c r="CG134" s="46"/>
      <c r="CH134" s="46"/>
      <c r="CI134" s="46"/>
      <c r="CJ134" s="46"/>
      <c r="CK134" s="46"/>
    </row>
    <row r="135" spans="1:89" ht="22.5" customHeight="1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  <c r="AJ135" s="46"/>
      <c r="AK135" s="46"/>
      <c r="AL135" s="46"/>
      <c r="AM135" s="46"/>
      <c r="AN135" s="46"/>
      <c r="AO135" s="46"/>
      <c r="AP135" s="46"/>
      <c r="AU135" s="46"/>
      <c r="AV135" s="46"/>
      <c r="AW135" s="46"/>
      <c r="AX135" s="46"/>
      <c r="AY135" s="46"/>
      <c r="AZ135" s="46"/>
      <c r="BA135" s="46"/>
      <c r="BB135" s="46"/>
      <c r="BC135" s="46"/>
      <c r="BD135" s="46"/>
      <c r="BE135" s="46"/>
      <c r="BF135" s="46"/>
      <c r="BG135" s="46"/>
      <c r="BH135" s="46"/>
      <c r="BI135" s="46"/>
      <c r="BJ135" s="46"/>
      <c r="BK135" s="46"/>
      <c r="BL135" s="46"/>
      <c r="BM135" s="46"/>
      <c r="BN135" s="46"/>
      <c r="BO135" s="46"/>
      <c r="BP135" s="46"/>
      <c r="BQ135" s="46"/>
      <c r="BR135" s="46"/>
      <c r="BS135" s="46"/>
      <c r="BT135" s="46"/>
      <c r="BU135" s="46"/>
      <c r="BV135" s="46"/>
      <c r="BW135" s="46"/>
      <c r="BX135" s="1"/>
      <c r="BY135" s="1"/>
      <c r="BZ135" s="46"/>
      <c r="CA135" s="46"/>
      <c r="CB135" s="46"/>
      <c r="CC135" s="49"/>
      <c r="CD135" s="49"/>
      <c r="CE135" s="49"/>
      <c r="CF135" s="46"/>
      <c r="CG135" s="46"/>
      <c r="CH135" s="46"/>
      <c r="CI135" s="46"/>
      <c r="CJ135" s="46"/>
      <c r="CK135" s="46"/>
    </row>
  </sheetData>
  <mergeCells count="22">
    <mergeCell ref="CB4:CB5"/>
    <mergeCell ref="CC4:CC5"/>
    <mergeCell ref="CD4:CD5"/>
    <mergeCell ref="CE4:CE5"/>
    <mergeCell ref="BP4:BR4"/>
    <mergeCell ref="BV4:BV5"/>
    <mergeCell ref="BX4:BX5"/>
    <mergeCell ref="BY4:BY5"/>
    <mergeCell ref="BZ4:BZ5"/>
    <mergeCell ref="CA4:CA5"/>
    <mergeCell ref="BO4:BO5"/>
    <mergeCell ref="AL4:AL5"/>
    <mergeCell ref="AV4:AV5"/>
    <mergeCell ref="AX4:AZ4"/>
    <mergeCell ref="BE4:BE5"/>
    <mergeCell ref="BF4:BF5"/>
    <mergeCell ref="BG4:BI4"/>
    <mergeCell ref="BJ4:BJ5"/>
    <mergeCell ref="BK4:BK5"/>
    <mergeCell ref="BL4:BL5"/>
    <mergeCell ref="BM4:BM5"/>
    <mergeCell ref="BN4:BN5"/>
  </mergeCells>
  <pageMargins left="0" right="0" top="0.59055118110236227" bottom="0" header="0" footer="0"/>
  <pageSetup paperSize="9" scale="8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49"/>
  <sheetViews>
    <sheetView topLeftCell="A2" zoomScale="140" zoomScaleNormal="140" workbookViewId="0">
      <pane xSplit="3" ySplit="3" topLeftCell="D31" activePane="bottomRight" state="frozen"/>
      <selection activeCell="A2" sqref="A2"/>
      <selection pane="topRight" activeCell="D2" sqref="D2"/>
      <selection pane="bottomLeft" activeCell="A5" sqref="A5"/>
      <selection pane="bottomRight" activeCell="A2" sqref="A2:AS49"/>
    </sheetView>
  </sheetViews>
  <sheetFormatPr defaultRowHeight="11.25"/>
  <cols>
    <col min="1" max="1" width="24" style="52" customWidth="1"/>
    <col min="2" max="2" width="3.85546875" style="52" customWidth="1"/>
    <col min="3" max="3" width="3" style="56" customWidth="1"/>
    <col min="4" max="4" width="8.140625" style="56" hidden="1" customWidth="1"/>
    <col min="5" max="5" width="7.5703125" style="56" hidden="1" customWidth="1"/>
    <col min="6" max="6" width="7.85546875" style="52" hidden="1" customWidth="1"/>
    <col min="7" max="7" width="7.5703125" style="53" hidden="1" customWidth="1"/>
    <col min="8" max="8" width="9.28515625" style="52" hidden="1" customWidth="1"/>
    <col min="9" max="9" width="8.85546875" style="52" hidden="1" customWidth="1"/>
    <col min="10" max="10" width="8.42578125" style="54" hidden="1" customWidth="1"/>
    <col min="11" max="11" width="8.28515625" style="55" hidden="1" customWidth="1"/>
    <col min="12" max="12" width="8.140625" style="56" hidden="1" customWidth="1"/>
    <col min="13" max="13" width="8.42578125" style="53" hidden="1" customWidth="1"/>
    <col min="14" max="14" width="7.5703125" style="52" hidden="1" customWidth="1"/>
    <col min="15" max="15" width="6.5703125" style="52" hidden="1" customWidth="1"/>
    <col min="16" max="16" width="8" style="52" customWidth="1"/>
    <col min="17" max="17" width="7.7109375" style="52" customWidth="1"/>
    <col min="18" max="18" width="6.85546875" style="52" hidden="1" customWidth="1"/>
    <col min="19" max="19" width="7.42578125" style="52" hidden="1" customWidth="1"/>
    <col min="20" max="21" width="6.85546875" style="52" hidden="1" customWidth="1"/>
    <col min="22" max="22" width="7.5703125" style="52" hidden="1" customWidth="1"/>
    <col min="23" max="23" width="6.85546875" style="52" hidden="1" customWidth="1"/>
    <col min="24" max="25" width="7.7109375" style="52" customWidth="1"/>
    <col min="26" max="26" width="8.140625" style="52" customWidth="1"/>
    <col min="27" max="27" width="7.28515625" style="52" customWidth="1"/>
    <col min="28" max="28" width="7.85546875" style="52" customWidth="1"/>
    <col min="29" max="29" width="7.5703125" style="52" customWidth="1"/>
    <col min="30" max="30" width="8" style="52" customWidth="1"/>
    <col min="31" max="31" width="7.85546875" style="52" customWidth="1"/>
    <col min="32" max="33" width="8.140625" style="52" customWidth="1"/>
    <col min="34" max="34" width="8.28515625" style="52" customWidth="1"/>
    <col min="35" max="35" width="8.140625" style="52" customWidth="1"/>
    <col min="36" max="36" width="6.7109375" style="52" customWidth="1"/>
    <col min="37" max="38" width="6.85546875" style="52" hidden="1" customWidth="1"/>
    <col min="39" max="39" width="7.7109375" style="52" hidden="1" customWidth="1"/>
    <col min="40" max="40" width="8.28515625" style="52" hidden="1" customWidth="1"/>
    <col min="41" max="41" width="6.5703125" style="52" hidden="1" customWidth="1"/>
    <col min="42" max="43" width="6.85546875" style="52" hidden="1" customWidth="1"/>
    <col min="44" max="44" width="10.7109375" style="57" hidden="1" customWidth="1"/>
    <col min="45" max="45" width="6.42578125" style="57" hidden="1" customWidth="1"/>
    <col min="46" max="89" width="9.140625" style="52"/>
    <col min="90" max="90" width="18.5703125" style="52" customWidth="1"/>
    <col min="91" max="91" width="3.5703125" style="52" customWidth="1"/>
    <col min="92" max="92" width="3" style="52" customWidth="1"/>
    <col min="93" max="93" width="8.140625" style="52" customWidth="1"/>
    <col min="94" max="99" width="0" style="52" hidden="1" customWidth="1"/>
    <col min="100" max="100" width="7.5703125" style="52" customWidth="1"/>
    <col min="101" max="121" width="0" style="52" hidden="1" customWidth="1"/>
    <col min="122" max="122" width="7.85546875" style="52" customWidth="1"/>
    <col min="123" max="139" width="0" style="52" hidden="1" customWidth="1"/>
    <col min="140" max="140" width="7.5703125" style="52" customWidth="1"/>
    <col min="141" max="160" width="0" style="52" hidden="1" customWidth="1"/>
    <col min="161" max="161" width="7.5703125" style="52" customWidth="1"/>
    <col min="162" max="180" width="0" style="52" hidden="1" customWidth="1"/>
    <col min="181" max="181" width="8.28515625" style="52" customWidth="1"/>
    <col min="182" max="192" width="0" style="52" hidden="1" customWidth="1"/>
    <col min="193" max="195" width="8.140625" style="52" customWidth="1"/>
    <col min="196" max="196" width="7.42578125" style="52" customWidth="1"/>
    <col min="197" max="197" width="5.7109375" style="52" customWidth="1"/>
    <col min="198" max="198" width="6.42578125" style="52" customWidth="1"/>
    <col min="199" max="199" width="5.7109375" style="52" customWidth="1"/>
    <col min="200" max="200" width="5.42578125" style="52" customWidth="1"/>
    <col min="201" max="201" width="5.28515625" style="52" customWidth="1"/>
    <col min="202" max="202" width="5.42578125" style="52" customWidth="1"/>
    <col min="203" max="203" width="5.28515625" style="52" customWidth="1"/>
    <col min="204" max="204" width="5.85546875" style="52" customWidth="1"/>
    <col min="205" max="205" width="6.140625" style="52" customWidth="1"/>
    <col min="206" max="345" width="9.140625" style="52"/>
    <col min="346" max="346" width="18.5703125" style="52" customWidth="1"/>
    <col min="347" max="347" width="3.5703125" style="52" customWidth="1"/>
    <col min="348" max="348" width="3" style="52" customWidth="1"/>
    <col min="349" max="349" width="8.140625" style="52" customWidth="1"/>
    <col min="350" max="355" width="0" style="52" hidden="1" customWidth="1"/>
    <col min="356" max="356" width="7.5703125" style="52" customWidth="1"/>
    <col min="357" max="377" width="0" style="52" hidden="1" customWidth="1"/>
    <col min="378" max="378" width="7.85546875" style="52" customWidth="1"/>
    <col min="379" max="395" width="0" style="52" hidden="1" customWidth="1"/>
    <col min="396" max="396" width="7.5703125" style="52" customWidth="1"/>
    <col min="397" max="416" width="0" style="52" hidden="1" customWidth="1"/>
    <col min="417" max="417" width="7.5703125" style="52" customWidth="1"/>
    <col min="418" max="436" width="0" style="52" hidden="1" customWidth="1"/>
    <col min="437" max="437" width="8.28515625" style="52" customWidth="1"/>
    <col min="438" max="448" width="0" style="52" hidden="1" customWidth="1"/>
    <col min="449" max="451" width="8.140625" style="52" customWidth="1"/>
    <col min="452" max="452" width="7.42578125" style="52" customWidth="1"/>
    <col min="453" max="453" width="5.7109375" style="52" customWidth="1"/>
    <col min="454" max="454" width="6.42578125" style="52" customWidth="1"/>
    <col min="455" max="455" width="5.7109375" style="52" customWidth="1"/>
    <col min="456" max="456" width="5.42578125" style="52" customWidth="1"/>
    <col min="457" max="457" width="5.28515625" style="52" customWidth="1"/>
    <col min="458" max="458" width="5.42578125" style="52" customWidth="1"/>
    <col min="459" max="459" width="5.28515625" style="52" customWidth="1"/>
    <col min="460" max="460" width="5.85546875" style="52" customWidth="1"/>
    <col min="461" max="461" width="6.140625" style="52" customWidth="1"/>
    <col min="462" max="601" width="9.140625" style="52"/>
    <col min="602" max="602" width="18.5703125" style="52" customWidth="1"/>
    <col min="603" max="603" width="3.5703125" style="52" customWidth="1"/>
    <col min="604" max="604" width="3" style="52" customWidth="1"/>
    <col min="605" max="605" width="8.140625" style="52" customWidth="1"/>
    <col min="606" max="611" width="0" style="52" hidden="1" customWidth="1"/>
    <col min="612" max="612" width="7.5703125" style="52" customWidth="1"/>
    <col min="613" max="633" width="0" style="52" hidden="1" customWidth="1"/>
    <col min="634" max="634" width="7.85546875" style="52" customWidth="1"/>
    <col min="635" max="651" width="0" style="52" hidden="1" customWidth="1"/>
    <col min="652" max="652" width="7.5703125" style="52" customWidth="1"/>
    <col min="653" max="672" width="0" style="52" hidden="1" customWidth="1"/>
    <col min="673" max="673" width="7.5703125" style="52" customWidth="1"/>
    <col min="674" max="692" width="0" style="52" hidden="1" customWidth="1"/>
    <col min="693" max="693" width="8.28515625" style="52" customWidth="1"/>
    <col min="694" max="704" width="0" style="52" hidden="1" customWidth="1"/>
    <col min="705" max="707" width="8.140625" style="52" customWidth="1"/>
    <col min="708" max="708" width="7.42578125" style="52" customWidth="1"/>
    <col min="709" max="709" width="5.7109375" style="52" customWidth="1"/>
    <col min="710" max="710" width="6.42578125" style="52" customWidth="1"/>
    <col min="711" max="711" width="5.7109375" style="52" customWidth="1"/>
    <col min="712" max="712" width="5.42578125" style="52" customWidth="1"/>
    <col min="713" max="713" width="5.28515625" style="52" customWidth="1"/>
    <col min="714" max="714" width="5.42578125" style="52" customWidth="1"/>
    <col min="715" max="715" width="5.28515625" style="52" customWidth="1"/>
    <col min="716" max="716" width="5.85546875" style="52" customWidth="1"/>
    <col min="717" max="717" width="6.140625" style="52" customWidth="1"/>
    <col min="718" max="857" width="9.140625" style="52"/>
    <col min="858" max="858" width="18.5703125" style="52" customWidth="1"/>
    <col min="859" max="859" width="3.5703125" style="52" customWidth="1"/>
    <col min="860" max="860" width="3" style="52" customWidth="1"/>
    <col min="861" max="861" width="8.140625" style="52" customWidth="1"/>
    <col min="862" max="867" width="0" style="52" hidden="1" customWidth="1"/>
    <col min="868" max="868" width="7.5703125" style="52" customWidth="1"/>
    <col min="869" max="889" width="0" style="52" hidden="1" customWidth="1"/>
    <col min="890" max="890" width="7.85546875" style="52" customWidth="1"/>
    <col min="891" max="907" width="0" style="52" hidden="1" customWidth="1"/>
    <col min="908" max="908" width="7.5703125" style="52" customWidth="1"/>
    <col min="909" max="928" width="0" style="52" hidden="1" customWidth="1"/>
    <col min="929" max="929" width="7.5703125" style="52" customWidth="1"/>
    <col min="930" max="948" width="0" style="52" hidden="1" customWidth="1"/>
    <col min="949" max="949" width="8.28515625" style="52" customWidth="1"/>
    <col min="950" max="960" width="0" style="52" hidden="1" customWidth="1"/>
    <col min="961" max="963" width="8.140625" style="52" customWidth="1"/>
    <col min="964" max="964" width="7.42578125" style="52" customWidth="1"/>
    <col min="965" max="965" width="5.7109375" style="52" customWidth="1"/>
    <col min="966" max="966" width="6.42578125" style="52" customWidth="1"/>
    <col min="967" max="967" width="5.7109375" style="52" customWidth="1"/>
    <col min="968" max="968" width="5.42578125" style="52" customWidth="1"/>
    <col min="969" max="969" width="5.28515625" style="52" customWidth="1"/>
    <col min="970" max="970" width="5.42578125" style="52" customWidth="1"/>
    <col min="971" max="971" width="5.28515625" style="52" customWidth="1"/>
    <col min="972" max="972" width="5.85546875" style="52" customWidth="1"/>
    <col min="973" max="973" width="6.140625" style="52" customWidth="1"/>
    <col min="974" max="1113" width="9.140625" style="52"/>
    <col min="1114" max="1114" width="18.5703125" style="52" customWidth="1"/>
    <col min="1115" max="1115" width="3.5703125" style="52" customWidth="1"/>
    <col min="1116" max="1116" width="3" style="52" customWidth="1"/>
    <col min="1117" max="1117" width="8.140625" style="52" customWidth="1"/>
    <col min="1118" max="1123" width="0" style="52" hidden="1" customWidth="1"/>
    <col min="1124" max="1124" width="7.5703125" style="52" customWidth="1"/>
    <col min="1125" max="1145" width="0" style="52" hidden="1" customWidth="1"/>
    <col min="1146" max="1146" width="7.85546875" style="52" customWidth="1"/>
    <col min="1147" max="1163" width="0" style="52" hidden="1" customWidth="1"/>
    <col min="1164" max="1164" width="7.5703125" style="52" customWidth="1"/>
    <col min="1165" max="1184" width="0" style="52" hidden="1" customWidth="1"/>
    <col min="1185" max="1185" width="7.5703125" style="52" customWidth="1"/>
    <col min="1186" max="1204" width="0" style="52" hidden="1" customWidth="1"/>
    <col min="1205" max="1205" width="8.28515625" style="52" customWidth="1"/>
    <col min="1206" max="1216" width="0" style="52" hidden="1" customWidth="1"/>
    <col min="1217" max="1219" width="8.140625" style="52" customWidth="1"/>
    <col min="1220" max="1220" width="7.42578125" style="52" customWidth="1"/>
    <col min="1221" max="1221" width="5.7109375" style="52" customWidth="1"/>
    <col min="1222" max="1222" width="6.42578125" style="52" customWidth="1"/>
    <col min="1223" max="1223" width="5.7109375" style="52" customWidth="1"/>
    <col min="1224" max="1224" width="5.42578125" style="52" customWidth="1"/>
    <col min="1225" max="1225" width="5.28515625" style="52" customWidth="1"/>
    <col min="1226" max="1226" width="5.42578125" style="52" customWidth="1"/>
    <col min="1227" max="1227" width="5.28515625" style="52" customWidth="1"/>
    <col min="1228" max="1228" width="5.85546875" style="52" customWidth="1"/>
    <col min="1229" max="1229" width="6.140625" style="52" customWidth="1"/>
    <col min="1230" max="1369" width="9.140625" style="52"/>
    <col min="1370" max="1370" width="18.5703125" style="52" customWidth="1"/>
    <col min="1371" max="1371" width="3.5703125" style="52" customWidth="1"/>
    <col min="1372" max="1372" width="3" style="52" customWidth="1"/>
    <col min="1373" max="1373" width="8.140625" style="52" customWidth="1"/>
    <col min="1374" max="1379" width="0" style="52" hidden="1" customWidth="1"/>
    <col min="1380" max="1380" width="7.5703125" style="52" customWidth="1"/>
    <col min="1381" max="1401" width="0" style="52" hidden="1" customWidth="1"/>
    <col min="1402" max="1402" width="7.85546875" style="52" customWidth="1"/>
    <col min="1403" max="1419" width="0" style="52" hidden="1" customWidth="1"/>
    <col min="1420" max="1420" width="7.5703125" style="52" customWidth="1"/>
    <col min="1421" max="1440" width="0" style="52" hidden="1" customWidth="1"/>
    <col min="1441" max="1441" width="7.5703125" style="52" customWidth="1"/>
    <col min="1442" max="1460" width="0" style="52" hidden="1" customWidth="1"/>
    <col min="1461" max="1461" width="8.28515625" style="52" customWidth="1"/>
    <col min="1462" max="1472" width="0" style="52" hidden="1" customWidth="1"/>
    <col min="1473" max="1475" width="8.140625" style="52" customWidth="1"/>
    <col min="1476" max="1476" width="7.42578125" style="52" customWidth="1"/>
    <col min="1477" max="1477" width="5.7109375" style="52" customWidth="1"/>
    <col min="1478" max="1478" width="6.42578125" style="52" customWidth="1"/>
    <col min="1479" max="1479" width="5.7109375" style="52" customWidth="1"/>
    <col min="1480" max="1480" width="5.42578125" style="52" customWidth="1"/>
    <col min="1481" max="1481" width="5.28515625" style="52" customWidth="1"/>
    <col min="1482" max="1482" width="5.42578125" style="52" customWidth="1"/>
    <col min="1483" max="1483" width="5.28515625" style="52" customWidth="1"/>
    <col min="1484" max="1484" width="5.85546875" style="52" customWidth="1"/>
    <col min="1485" max="1485" width="6.140625" style="52" customWidth="1"/>
    <col min="1486" max="1625" width="9.140625" style="52"/>
    <col min="1626" max="1626" width="18.5703125" style="52" customWidth="1"/>
    <col min="1627" max="1627" width="3.5703125" style="52" customWidth="1"/>
    <col min="1628" max="1628" width="3" style="52" customWidth="1"/>
    <col min="1629" max="1629" width="8.140625" style="52" customWidth="1"/>
    <col min="1630" max="1635" width="0" style="52" hidden="1" customWidth="1"/>
    <col min="1636" max="1636" width="7.5703125" style="52" customWidth="1"/>
    <col min="1637" max="1657" width="0" style="52" hidden="1" customWidth="1"/>
    <col min="1658" max="1658" width="7.85546875" style="52" customWidth="1"/>
    <col min="1659" max="1675" width="0" style="52" hidden="1" customWidth="1"/>
    <col min="1676" max="1676" width="7.5703125" style="52" customWidth="1"/>
    <col min="1677" max="1696" width="0" style="52" hidden="1" customWidth="1"/>
    <col min="1697" max="1697" width="7.5703125" style="52" customWidth="1"/>
    <col min="1698" max="1716" width="0" style="52" hidden="1" customWidth="1"/>
    <col min="1717" max="1717" width="8.28515625" style="52" customWidth="1"/>
    <col min="1718" max="1728" width="0" style="52" hidden="1" customWidth="1"/>
    <col min="1729" max="1731" width="8.140625" style="52" customWidth="1"/>
    <col min="1732" max="1732" width="7.42578125" style="52" customWidth="1"/>
    <col min="1733" max="1733" width="5.7109375" style="52" customWidth="1"/>
    <col min="1734" max="1734" width="6.42578125" style="52" customWidth="1"/>
    <col min="1735" max="1735" width="5.7109375" style="52" customWidth="1"/>
    <col min="1736" max="1736" width="5.42578125" style="52" customWidth="1"/>
    <col min="1737" max="1737" width="5.28515625" style="52" customWidth="1"/>
    <col min="1738" max="1738" width="5.42578125" style="52" customWidth="1"/>
    <col min="1739" max="1739" width="5.28515625" style="52" customWidth="1"/>
    <col min="1740" max="1740" width="5.85546875" style="52" customWidth="1"/>
    <col min="1741" max="1741" width="6.140625" style="52" customWidth="1"/>
    <col min="1742" max="1881" width="9.140625" style="52"/>
    <col min="1882" max="1882" width="18.5703125" style="52" customWidth="1"/>
    <col min="1883" max="1883" width="3.5703125" style="52" customWidth="1"/>
    <col min="1884" max="1884" width="3" style="52" customWidth="1"/>
    <col min="1885" max="1885" width="8.140625" style="52" customWidth="1"/>
    <col min="1886" max="1891" width="0" style="52" hidden="1" customWidth="1"/>
    <col min="1892" max="1892" width="7.5703125" style="52" customWidth="1"/>
    <col min="1893" max="1913" width="0" style="52" hidden="1" customWidth="1"/>
    <col min="1914" max="1914" width="7.85546875" style="52" customWidth="1"/>
    <col min="1915" max="1931" width="0" style="52" hidden="1" customWidth="1"/>
    <col min="1932" max="1932" width="7.5703125" style="52" customWidth="1"/>
    <col min="1933" max="1952" width="0" style="52" hidden="1" customWidth="1"/>
    <col min="1953" max="1953" width="7.5703125" style="52" customWidth="1"/>
    <col min="1954" max="1972" width="0" style="52" hidden="1" customWidth="1"/>
    <col min="1973" max="1973" width="8.28515625" style="52" customWidth="1"/>
    <col min="1974" max="1984" width="0" style="52" hidden="1" customWidth="1"/>
    <col min="1985" max="1987" width="8.140625" style="52" customWidth="1"/>
    <col min="1988" max="1988" width="7.42578125" style="52" customWidth="1"/>
    <col min="1989" max="1989" width="5.7109375" style="52" customWidth="1"/>
    <col min="1990" max="1990" width="6.42578125" style="52" customWidth="1"/>
    <col min="1991" max="1991" width="5.7109375" style="52" customWidth="1"/>
    <col min="1992" max="1992" width="5.42578125" style="52" customWidth="1"/>
    <col min="1993" max="1993" width="5.28515625" style="52" customWidth="1"/>
    <col min="1994" max="1994" width="5.42578125" style="52" customWidth="1"/>
    <col min="1995" max="1995" width="5.28515625" style="52" customWidth="1"/>
    <col min="1996" max="1996" width="5.85546875" style="52" customWidth="1"/>
    <col min="1997" max="1997" width="6.140625" style="52" customWidth="1"/>
    <col min="1998" max="2137" width="9.140625" style="52"/>
    <col min="2138" max="2138" width="18.5703125" style="52" customWidth="1"/>
    <col min="2139" max="2139" width="3.5703125" style="52" customWidth="1"/>
    <col min="2140" max="2140" width="3" style="52" customWidth="1"/>
    <col min="2141" max="2141" width="8.140625" style="52" customWidth="1"/>
    <col min="2142" max="2147" width="0" style="52" hidden="1" customWidth="1"/>
    <col min="2148" max="2148" width="7.5703125" style="52" customWidth="1"/>
    <col min="2149" max="2169" width="0" style="52" hidden="1" customWidth="1"/>
    <col min="2170" max="2170" width="7.85546875" style="52" customWidth="1"/>
    <col min="2171" max="2187" width="0" style="52" hidden="1" customWidth="1"/>
    <col min="2188" max="2188" width="7.5703125" style="52" customWidth="1"/>
    <col min="2189" max="2208" width="0" style="52" hidden="1" customWidth="1"/>
    <col min="2209" max="2209" width="7.5703125" style="52" customWidth="1"/>
    <col min="2210" max="2228" width="0" style="52" hidden="1" customWidth="1"/>
    <col min="2229" max="2229" width="8.28515625" style="52" customWidth="1"/>
    <col min="2230" max="2240" width="0" style="52" hidden="1" customWidth="1"/>
    <col min="2241" max="2243" width="8.140625" style="52" customWidth="1"/>
    <col min="2244" max="2244" width="7.42578125" style="52" customWidth="1"/>
    <col min="2245" max="2245" width="5.7109375" style="52" customWidth="1"/>
    <col min="2246" max="2246" width="6.42578125" style="52" customWidth="1"/>
    <col min="2247" max="2247" width="5.7109375" style="52" customWidth="1"/>
    <col min="2248" max="2248" width="5.42578125" style="52" customWidth="1"/>
    <col min="2249" max="2249" width="5.28515625" style="52" customWidth="1"/>
    <col min="2250" max="2250" width="5.42578125" style="52" customWidth="1"/>
    <col min="2251" max="2251" width="5.28515625" style="52" customWidth="1"/>
    <col min="2252" max="2252" width="5.85546875" style="52" customWidth="1"/>
    <col min="2253" max="2253" width="6.140625" style="52" customWidth="1"/>
    <col min="2254" max="2393" width="9.140625" style="52"/>
    <col min="2394" max="2394" width="18.5703125" style="52" customWidth="1"/>
    <col min="2395" max="2395" width="3.5703125" style="52" customWidth="1"/>
    <col min="2396" max="2396" width="3" style="52" customWidth="1"/>
    <col min="2397" max="2397" width="8.140625" style="52" customWidth="1"/>
    <col min="2398" max="2403" width="0" style="52" hidden="1" customWidth="1"/>
    <col min="2404" max="2404" width="7.5703125" style="52" customWidth="1"/>
    <col min="2405" max="2425" width="0" style="52" hidden="1" customWidth="1"/>
    <col min="2426" max="2426" width="7.85546875" style="52" customWidth="1"/>
    <col min="2427" max="2443" width="0" style="52" hidden="1" customWidth="1"/>
    <col min="2444" max="2444" width="7.5703125" style="52" customWidth="1"/>
    <col min="2445" max="2464" width="0" style="52" hidden="1" customWidth="1"/>
    <col min="2465" max="2465" width="7.5703125" style="52" customWidth="1"/>
    <col min="2466" max="2484" width="0" style="52" hidden="1" customWidth="1"/>
    <col min="2485" max="2485" width="8.28515625" style="52" customWidth="1"/>
    <col min="2486" max="2496" width="0" style="52" hidden="1" customWidth="1"/>
    <col min="2497" max="2499" width="8.140625" style="52" customWidth="1"/>
    <col min="2500" max="2500" width="7.42578125" style="52" customWidth="1"/>
    <col min="2501" max="2501" width="5.7109375" style="52" customWidth="1"/>
    <col min="2502" max="2502" width="6.42578125" style="52" customWidth="1"/>
    <col min="2503" max="2503" width="5.7109375" style="52" customWidth="1"/>
    <col min="2504" max="2504" width="5.42578125" style="52" customWidth="1"/>
    <col min="2505" max="2505" width="5.28515625" style="52" customWidth="1"/>
    <col min="2506" max="2506" width="5.42578125" style="52" customWidth="1"/>
    <col min="2507" max="2507" width="5.28515625" style="52" customWidth="1"/>
    <col min="2508" max="2508" width="5.85546875" style="52" customWidth="1"/>
    <col min="2509" max="2509" width="6.140625" style="52" customWidth="1"/>
    <col min="2510" max="2649" width="9.140625" style="52"/>
    <col min="2650" max="2650" width="18.5703125" style="52" customWidth="1"/>
    <col min="2651" max="2651" width="3.5703125" style="52" customWidth="1"/>
    <col min="2652" max="2652" width="3" style="52" customWidth="1"/>
    <col min="2653" max="2653" width="8.140625" style="52" customWidth="1"/>
    <col min="2654" max="2659" width="0" style="52" hidden="1" customWidth="1"/>
    <col min="2660" max="2660" width="7.5703125" style="52" customWidth="1"/>
    <col min="2661" max="2681" width="0" style="52" hidden="1" customWidth="1"/>
    <col min="2682" max="2682" width="7.85546875" style="52" customWidth="1"/>
    <col min="2683" max="2699" width="0" style="52" hidden="1" customWidth="1"/>
    <col min="2700" max="2700" width="7.5703125" style="52" customWidth="1"/>
    <col min="2701" max="2720" width="0" style="52" hidden="1" customWidth="1"/>
    <col min="2721" max="2721" width="7.5703125" style="52" customWidth="1"/>
    <col min="2722" max="2740" width="0" style="52" hidden="1" customWidth="1"/>
    <col min="2741" max="2741" width="8.28515625" style="52" customWidth="1"/>
    <col min="2742" max="2752" width="0" style="52" hidden="1" customWidth="1"/>
    <col min="2753" max="2755" width="8.140625" style="52" customWidth="1"/>
    <col min="2756" max="2756" width="7.42578125" style="52" customWidth="1"/>
    <col min="2757" max="2757" width="5.7109375" style="52" customWidth="1"/>
    <col min="2758" max="2758" width="6.42578125" style="52" customWidth="1"/>
    <col min="2759" max="2759" width="5.7109375" style="52" customWidth="1"/>
    <col min="2760" max="2760" width="5.42578125" style="52" customWidth="1"/>
    <col min="2761" max="2761" width="5.28515625" style="52" customWidth="1"/>
    <col min="2762" max="2762" width="5.42578125" style="52" customWidth="1"/>
    <col min="2763" max="2763" width="5.28515625" style="52" customWidth="1"/>
    <col min="2764" max="2764" width="5.85546875" style="52" customWidth="1"/>
    <col min="2765" max="2765" width="6.140625" style="52" customWidth="1"/>
    <col min="2766" max="2905" width="9.140625" style="52"/>
    <col min="2906" max="2906" width="18.5703125" style="52" customWidth="1"/>
    <col min="2907" max="2907" width="3.5703125" style="52" customWidth="1"/>
    <col min="2908" max="2908" width="3" style="52" customWidth="1"/>
    <col min="2909" max="2909" width="8.140625" style="52" customWidth="1"/>
    <col min="2910" max="2915" width="0" style="52" hidden="1" customWidth="1"/>
    <col min="2916" max="2916" width="7.5703125" style="52" customWidth="1"/>
    <col min="2917" max="2937" width="0" style="52" hidden="1" customWidth="1"/>
    <col min="2938" max="2938" width="7.85546875" style="52" customWidth="1"/>
    <col min="2939" max="2955" width="0" style="52" hidden="1" customWidth="1"/>
    <col min="2956" max="2956" width="7.5703125" style="52" customWidth="1"/>
    <col min="2957" max="2976" width="0" style="52" hidden="1" customWidth="1"/>
    <col min="2977" max="2977" width="7.5703125" style="52" customWidth="1"/>
    <col min="2978" max="2996" width="0" style="52" hidden="1" customWidth="1"/>
    <col min="2997" max="2997" width="8.28515625" style="52" customWidth="1"/>
    <col min="2998" max="3008" width="0" style="52" hidden="1" customWidth="1"/>
    <col min="3009" max="3011" width="8.140625" style="52" customWidth="1"/>
    <col min="3012" max="3012" width="7.42578125" style="52" customWidth="1"/>
    <col min="3013" max="3013" width="5.7109375" style="52" customWidth="1"/>
    <col min="3014" max="3014" width="6.42578125" style="52" customWidth="1"/>
    <col min="3015" max="3015" width="5.7109375" style="52" customWidth="1"/>
    <col min="3016" max="3016" width="5.42578125" style="52" customWidth="1"/>
    <col min="3017" max="3017" width="5.28515625" style="52" customWidth="1"/>
    <col min="3018" max="3018" width="5.42578125" style="52" customWidth="1"/>
    <col min="3019" max="3019" width="5.28515625" style="52" customWidth="1"/>
    <col min="3020" max="3020" width="5.85546875" style="52" customWidth="1"/>
    <col min="3021" max="3021" width="6.140625" style="52" customWidth="1"/>
    <col min="3022" max="3161" width="9.140625" style="52"/>
    <col min="3162" max="3162" width="18.5703125" style="52" customWidth="1"/>
    <col min="3163" max="3163" width="3.5703125" style="52" customWidth="1"/>
    <col min="3164" max="3164" width="3" style="52" customWidth="1"/>
    <col min="3165" max="3165" width="8.140625" style="52" customWidth="1"/>
    <col min="3166" max="3171" width="0" style="52" hidden="1" customWidth="1"/>
    <col min="3172" max="3172" width="7.5703125" style="52" customWidth="1"/>
    <col min="3173" max="3193" width="0" style="52" hidden="1" customWidth="1"/>
    <col min="3194" max="3194" width="7.85546875" style="52" customWidth="1"/>
    <col min="3195" max="3211" width="0" style="52" hidden="1" customWidth="1"/>
    <col min="3212" max="3212" width="7.5703125" style="52" customWidth="1"/>
    <col min="3213" max="3232" width="0" style="52" hidden="1" customWidth="1"/>
    <col min="3233" max="3233" width="7.5703125" style="52" customWidth="1"/>
    <col min="3234" max="3252" width="0" style="52" hidden="1" customWidth="1"/>
    <col min="3253" max="3253" width="8.28515625" style="52" customWidth="1"/>
    <col min="3254" max="3264" width="0" style="52" hidden="1" customWidth="1"/>
    <col min="3265" max="3267" width="8.140625" style="52" customWidth="1"/>
    <col min="3268" max="3268" width="7.42578125" style="52" customWidth="1"/>
    <col min="3269" max="3269" width="5.7109375" style="52" customWidth="1"/>
    <col min="3270" max="3270" width="6.42578125" style="52" customWidth="1"/>
    <col min="3271" max="3271" width="5.7109375" style="52" customWidth="1"/>
    <col min="3272" max="3272" width="5.42578125" style="52" customWidth="1"/>
    <col min="3273" max="3273" width="5.28515625" style="52" customWidth="1"/>
    <col min="3274" max="3274" width="5.42578125" style="52" customWidth="1"/>
    <col min="3275" max="3275" width="5.28515625" style="52" customWidth="1"/>
    <col min="3276" max="3276" width="5.85546875" style="52" customWidth="1"/>
    <col min="3277" max="3277" width="6.140625" style="52" customWidth="1"/>
    <col min="3278" max="3417" width="9.140625" style="52"/>
    <col min="3418" max="3418" width="18.5703125" style="52" customWidth="1"/>
    <col min="3419" max="3419" width="3.5703125" style="52" customWidth="1"/>
    <col min="3420" max="3420" width="3" style="52" customWidth="1"/>
    <col min="3421" max="3421" width="8.140625" style="52" customWidth="1"/>
    <col min="3422" max="3427" width="0" style="52" hidden="1" customWidth="1"/>
    <col min="3428" max="3428" width="7.5703125" style="52" customWidth="1"/>
    <col min="3429" max="3449" width="0" style="52" hidden="1" customWidth="1"/>
    <col min="3450" max="3450" width="7.85546875" style="52" customWidth="1"/>
    <col min="3451" max="3467" width="0" style="52" hidden="1" customWidth="1"/>
    <col min="3468" max="3468" width="7.5703125" style="52" customWidth="1"/>
    <col min="3469" max="3488" width="0" style="52" hidden="1" customWidth="1"/>
    <col min="3489" max="3489" width="7.5703125" style="52" customWidth="1"/>
    <col min="3490" max="3508" width="0" style="52" hidden="1" customWidth="1"/>
    <col min="3509" max="3509" width="8.28515625" style="52" customWidth="1"/>
    <col min="3510" max="3520" width="0" style="52" hidden="1" customWidth="1"/>
    <col min="3521" max="3523" width="8.140625" style="52" customWidth="1"/>
    <col min="3524" max="3524" width="7.42578125" style="52" customWidth="1"/>
    <col min="3525" max="3525" width="5.7109375" style="52" customWidth="1"/>
    <col min="3526" max="3526" width="6.42578125" style="52" customWidth="1"/>
    <col min="3527" max="3527" width="5.7109375" style="52" customWidth="1"/>
    <col min="3528" max="3528" width="5.42578125" style="52" customWidth="1"/>
    <col min="3529" max="3529" width="5.28515625" style="52" customWidth="1"/>
    <col min="3530" max="3530" width="5.42578125" style="52" customWidth="1"/>
    <col min="3531" max="3531" width="5.28515625" style="52" customWidth="1"/>
    <col min="3532" max="3532" width="5.85546875" style="52" customWidth="1"/>
    <col min="3533" max="3533" width="6.140625" style="52" customWidth="1"/>
    <col min="3534" max="3673" width="9.140625" style="52"/>
    <col min="3674" max="3674" width="18.5703125" style="52" customWidth="1"/>
    <col min="3675" max="3675" width="3.5703125" style="52" customWidth="1"/>
    <col min="3676" max="3676" width="3" style="52" customWidth="1"/>
    <col min="3677" max="3677" width="8.140625" style="52" customWidth="1"/>
    <col min="3678" max="3683" width="0" style="52" hidden="1" customWidth="1"/>
    <col min="3684" max="3684" width="7.5703125" style="52" customWidth="1"/>
    <col min="3685" max="3705" width="0" style="52" hidden="1" customWidth="1"/>
    <col min="3706" max="3706" width="7.85546875" style="52" customWidth="1"/>
    <col min="3707" max="3723" width="0" style="52" hidden="1" customWidth="1"/>
    <col min="3724" max="3724" width="7.5703125" style="52" customWidth="1"/>
    <col min="3725" max="3744" width="0" style="52" hidden="1" customWidth="1"/>
    <col min="3745" max="3745" width="7.5703125" style="52" customWidth="1"/>
    <col min="3746" max="3764" width="0" style="52" hidden="1" customWidth="1"/>
    <col min="3765" max="3765" width="8.28515625" style="52" customWidth="1"/>
    <col min="3766" max="3776" width="0" style="52" hidden="1" customWidth="1"/>
    <col min="3777" max="3779" width="8.140625" style="52" customWidth="1"/>
    <col min="3780" max="3780" width="7.42578125" style="52" customWidth="1"/>
    <col min="3781" max="3781" width="5.7109375" style="52" customWidth="1"/>
    <col min="3782" max="3782" width="6.42578125" style="52" customWidth="1"/>
    <col min="3783" max="3783" width="5.7109375" style="52" customWidth="1"/>
    <col min="3784" max="3784" width="5.42578125" style="52" customWidth="1"/>
    <col min="3785" max="3785" width="5.28515625" style="52" customWidth="1"/>
    <col min="3786" max="3786" width="5.42578125" style="52" customWidth="1"/>
    <col min="3787" max="3787" width="5.28515625" style="52" customWidth="1"/>
    <col min="3788" max="3788" width="5.85546875" style="52" customWidth="1"/>
    <col min="3789" max="3789" width="6.140625" style="52" customWidth="1"/>
    <col min="3790" max="3929" width="9.140625" style="52"/>
    <col min="3930" max="3930" width="18.5703125" style="52" customWidth="1"/>
    <col min="3931" max="3931" width="3.5703125" style="52" customWidth="1"/>
    <col min="3932" max="3932" width="3" style="52" customWidth="1"/>
    <col min="3933" max="3933" width="8.140625" style="52" customWidth="1"/>
    <col min="3934" max="3939" width="0" style="52" hidden="1" customWidth="1"/>
    <col min="3940" max="3940" width="7.5703125" style="52" customWidth="1"/>
    <col min="3941" max="3961" width="0" style="52" hidden="1" customWidth="1"/>
    <col min="3962" max="3962" width="7.85546875" style="52" customWidth="1"/>
    <col min="3963" max="3979" width="0" style="52" hidden="1" customWidth="1"/>
    <col min="3980" max="3980" width="7.5703125" style="52" customWidth="1"/>
    <col min="3981" max="4000" width="0" style="52" hidden="1" customWidth="1"/>
    <col min="4001" max="4001" width="7.5703125" style="52" customWidth="1"/>
    <col min="4002" max="4020" width="0" style="52" hidden="1" customWidth="1"/>
    <col min="4021" max="4021" width="8.28515625" style="52" customWidth="1"/>
    <col min="4022" max="4032" width="0" style="52" hidden="1" customWidth="1"/>
    <col min="4033" max="4035" width="8.140625" style="52" customWidth="1"/>
    <col min="4036" max="4036" width="7.42578125" style="52" customWidth="1"/>
    <col min="4037" max="4037" width="5.7109375" style="52" customWidth="1"/>
    <col min="4038" max="4038" width="6.42578125" style="52" customWidth="1"/>
    <col min="4039" max="4039" width="5.7109375" style="52" customWidth="1"/>
    <col min="4040" max="4040" width="5.42578125" style="52" customWidth="1"/>
    <col min="4041" max="4041" width="5.28515625" style="52" customWidth="1"/>
    <col min="4042" max="4042" width="5.42578125" style="52" customWidth="1"/>
    <col min="4043" max="4043" width="5.28515625" style="52" customWidth="1"/>
    <col min="4044" max="4044" width="5.85546875" style="52" customWidth="1"/>
    <col min="4045" max="4045" width="6.140625" style="52" customWidth="1"/>
    <col min="4046" max="4185" width="9.140625" style="52"/>
    <col min="4186" max="4186" width="18.5703125" style="52" customWidth="1"/>
    <col min="4187" max="4187" width="3.5703125" style="52" customWidth="1"/>
    <col min="4188" max="4188" width="3" style="52" customWidth="1"/>
    <col min="4189" max="4189" width="8.140625" style="52" customWidth="1"/>
    <col min="4190" max="4195" width="0" style="52" hidden="1" customWidth="1"/>
    <col min="4196" max="4196" width="7.5703125" style="52" customWidth="1"/>
    <col min="4197" max="4217" width="0" style="52" hidden="1" customWidth="1"/>
    <col min="4218" max="4218" width="7.85546875" style="52" customWidth="1"/>
    <col min="4219" max="4235" width="0" style="52" hidden="1" customWidth="1"/>
    <col min="4236" max="4236" width="7.5703125" style="52" customWidth="1"/>
    <col min="4237" max="4256" width="0" style="52" hidden="1" customWidth="1"/>
    <col min="4257" max="4257" width="7.5703125" style="52" customWidth="1"/>
    <col min="4258" max="4276" width="0" style="52" hidden="1" customWidth="1"/>
    <col min="4277" max="4277" width="8.28515625" style="52" customWidth="1"/>
    <col min="4278" max="4288" width="0" style="52" hidden="1" customWidth="1"/>
    <col min="4289" max="4291" width="8.140625" style="52" customWidth="1"/>
    <col min="4292" max="4292" width="7.42578125" style="52" customWidth="1"/>
    <col min="4293" max="4293" width="5.7109375" style="52" customWidth="1"/>
    <col min="4294" max="4294" width="6.42578125" style="52" customWidth="1"/>
    <col min="4295" max="4295" width="5.7109375" style="52" customWidth="1"/>
    <col min="4296" max="4296" width="5.42578125" style="52" customWidth="1"/>
    <col min="4297" max="4297" width="5.28515625" style="52" customWidth="1"/>
    <col min="4298" max="4298" width="5.42578125" style="52" customWidth="1"/>
    <col min="4299" max="4299" width="5.28515625" style="52" customWidth="1"/>
    <col min="4300" max="4300" width="5.85546875" style="52" customWidth="1"/>
    <col min="4301" max="4301" width="6.140625" style="52" customWidth="1"/>
    <col min="4302" max="4441" width="9.140625" style="52"/>
    <col min="4442" max="4442" width="18.5703125" style="52" customWidth="1"/>
    <col min="4443" max="4443" width="3.5703125" style="52" customWidth="1"/>
    <col min="4444" max="4444" width="3" style="52" customWidth="1"/>
    <col min="4445" max="4445" width="8.140625" style="52" customWidth="1"/>
    <col min="4446" max="4451" width="0" style="52" hidden="1" customWidth="1"/>
    <col min="4452" max="4452" width="7.5703125" style="52" customWidth="1"/>
    <col min="4453" max="4473" width="0" style="52" hidden="1" customWidth="1"/>
    <col min="4474" max="4474" width="7.85546875" style="52" customWidth="1"/>
    <col min="4475" max="4491" width="0" style="52" hidden="1" customWidth="1"/>
    <col min="4492" max="4492" width="7.5703125" style="52" customWidth="1"/>
    <col min="4493" max="4512" width="0" style="52" hidden="1" customWidth="1"/>
    <col min="4513" max="4513" width="7.5703125" style="52" customWidth="1"/>
    <col min="4514" max="4532" width="0" style="52" hidden="1" customWidth="1"/>
    <col min="4533" max="4533" width="8.28515625" style="52" customWidth="1"/>
    <col min="4534" max="4544" width="0" style="52" hidden="1" customWidth="1"/>
    <col min="4545" max="4547" width="8.140625" style="52" customWidth="1"/>
    <col min="4548" max="4548" width="7.42578125" style="52" customWidth="1"/>
    <col min="4549" max="4549" width="5.7109375" style="52" customWidth="1"/>
    <col min="4550" max="4550" width="6.42578125" style="52" customWidth="1"/>
    <col min="4551" max="4551" width="5.7109375" style="52" customWidth="1"/>
    <col min="4552" max="4552" width="5.42578125" style="52" customWidth="1"/>
    <col min="4553" max="4553" width="5.28515625" style="52" customWidth="1"/>
    <col min="4554" max="4554" width="5.42578125" style="52" customWidth="1"/>
    <col min="4555" max="4555" width="5.28515625" style="52" customWidth="1"/>
    <col min="4556" max="4556" width="5.85546875" style="52" customWidth="1"/>
    <col min="4557" max="4557" width="6.140625" style="52" customWidth="1"/>
    <col min="4558" max="4697" width="9.140625" style="52"/>
    <col min="4698" max="4698" width="18.5703125" style="52" customWidth="1"/>
    <col min="4699" max="4699" width="3.5703125" style="52" customWidth="1"/>
    <col min="4700" max="4700" width="3" style="52" customWidth="1"/>
    <col min="4701" max="4701" width="8.140625" style="52" customWidth="1"/>
    <col min="4702" max="4707" width="0" style="52" hidden="1" customWidth="1"/>
    <col min="4708" max="4708" width="7.5703125" style="52" customWidth="1"/>
    <col min="4709" max="4729" width="0" style="52" hidden="1" customWidth="1"/>
    <col min="4730" max="4730" width="7.85546875" style="52" customWidth="1"/>
    <col min="4731" max="4747" width="0" style="52" hidden="1" customWidth="1"/>
    <col min="4748" max="4748" width="7.5703125" style="52" customWidth="1"/>
    <col min="4749" max="4768" width="0" style="52" hidden="1" customWidth="1"/>
    <col min="4769" max="4769" width="7.5703125" style="52" customWidth="1"/>
    <col min="4770" max="4788" width="0" style="52" hidden="1" customWidth="1"/>
    <col min="4789" max="4789" width="8.28515625" style="52" customWidth="1"/>
    <col min="4790" max="4800" width="0" style="52" hidden="1" customWidth="1"/>
    <col min="4801" max="4803" width="8.140625" style="52" customWidth="1"/>
    <col min="4804" max="4804" width="7.42578125" style="52" customWidth="1"/>
    <col min="4805" max="4805" width="5.7109375" style="52" customWidth="1"/>
    <col min="4806" max="4806" width="6.42578125" style="52" customWidth="1"/>
    <col min="4807" max="4807" width="5.7109375" style="52" customWidth="1"/>
    <col min="4808" max="4808" width="5.42578125" style="52" customWidth="1"/>
    <col min="4809" max="4809" width="5.28515625" style="52" customWidth="1"/>
    <col min="4810" max="4810" width="5.42578125" style="52" customWidth="1"/>
    <col min="4811" max="4811" width="5.28515625" style="52" customWidth="1"/>
    <col min="4812" max="4812" width="5.85546875" style="52" customWidth="1"/>
    <col min="4813" max="4813" width="6.140625" style="52" customWidth="1"/>
    <col min="4814" max="4953" width="9.140625" style="52"/>
    <col min="4954" max="4954" width="18.5703125" style="52" customWidth="1"/>
    <col min="4955" max="4955" width="3.5703125" style="52" customWidth="1"/>
    <col min="4956" max="4956" width="3" style="52" customWidth="1"/>
    <col min="4957" max="4957" width="8.140625" style="52" customWidth="1"/>
    <col min="4958" max="4963" width="0" style="52" hidden="1" customWidth="1"/>
    <col min="4964" max="4964" width="7.5703125" style="52" customWidth="1"/>
    <col min="4965" max="4985" width="0" style="52" hidden="1" customWidth="1"/>
    <col min="4986" max="4986" width="7.85546875" style="52" customWidth="1"/>
    <col min="4987" max="5003" width="0" style="52" hidden="1" customWidth="1"/>
    <col min="5004" max="5004" width="7.5703125" style="52" customWidth="1"/>
    <col min="5005" max="5024" width="0" style="52" hidden="1" customWidth="1"/>
    <col min="5025" max="5025" width="7.5703125" style="52" customWidth="1"/>
    <col min="5026" max="5044" width="0" style="52" hidden="1" customWidth="1"/>
    <col min="5045" max="5045" width="8.28515625" style="52" customWidth="1"/>
    <col min="5046" max="5056" width="0" style="52" hidden="1" customWidth="1"/>
    <col min="5057" max="5059" width="8.140625" style="52" customWidth="1"/>
    <col min="5060" max="5060" width="7.42578125" style="52" customWidth="1"/>
    <col min="5061" max="5061" width="5.7109375" style="52" customWidth="1"/>
    <col min="5062" max="5062" width="6.42578125" style="52" customWidth="1"/>
    <col min="5063" max="5063" width="5.7109375" style="52" customWidth="1"/>
    <col min="5064" max="5064" width="5.42578125" style="52" customWidth="1"/>
    <col min="5065" max="5065" width="5.28515625" style="52" customWidth="1"/>
    <col min="5066" max="5066" width="5.42578125" style="52" customWidth="1"/>
    <col min="5067" max="5067" width="5.28515625" style="52" customWidth="1"/>
    <col min="5068" max="5068" width="5.85546875" style="52" customWidth="1"/>
    <col min="5069" max="5069" width="6.140625" style="52" customWidth="1"/>
    <col min="5070" max="5209" width="9.140625" style="52"/>
    <col min="5210" max="5210" width="18.5703125" style="52" customWidth="1"/>
    <col min="5211" max="5211" width="3.5703125" style="52" customWidth="1"/>
    <col min="5212" max="5212" width="3" style="52" customWidth="1"/>
    <col min="5213" max="5213" width="8.140625" style="52" customWidth="1"/>
    <col min="5214" max="5219" width="0" style="52" hidden="1" customWidth="1"/>
    <col min="5220" max="5220" width="7.5703125" style="52" customWidth="1"/>
    <col min="5221" max="5241" width="0" style="52" hidden="1" customWidth="1"/>
    <col min="5242" max="5242" width="7.85546875" style="52" customWidth="1"/>
    <col min="5243" max="5259" width="0" style="52" hidden="1" customWidth="1"/>
    <col min="5260" max="5260" width="7.5703125" style="52" customWidth="1"/>
    <col min="5261" max="5280" width="0" style="52" hidden="1" customWidth="1"/>
    <col min="5281" max="5281" width="7.5703125" style="52" customWidth="1"/>
    <col min="5282" max="5300" width="0" style="52" hidden="1" customWidth="1"/>
    <col min="5301" max="5301" width="8.28515625" style="52" customWidth="1"/>
    <col min="5302" max="5312" width="0" style="52" hidden="1" customWidth="1"/>
    <col min="5313" max="5315" width="8.140625" style="52" customWidth="1"/>
    <col min="5316" max="5316" width="7.42578125" style="52" customWidth="1"/>
    <col min="5317" max="5317" width="5.7109375" style="52" customWidth="1"/>
    <col min="5318" max="5318" width="6.42578125" style="52" customWidth="1"/>
    <col min="5319" max="5319" width="5.7109375" style="52" customWidth="1"/>
    <col min="5320" max="5320" width="5.42578125" style="52" customWidth="1"/>
    <col min="5321" max="5321" width="5.28515625" style="52" customWidth="1"/>
    <col min="5322" max="5322" width="5.42578125" style="52" customWidth="1"/>
    <col min="5323" max="5323" width="5.28515625" style="52" customWidth="1"/>
    <col min="5324" max="5324" width="5.85546875" style="52" customWidth="1"/>
    <col min="5325" max="5325" width="6.140625" style="52" customWidth="1"/>
    <col min="5326" max="5465" width="9.140625" style="52"/>
    <col min="5466" max="5466" width="18.5703125" style="52" customWidth="1"/>
    <col min="5467" max="5467" width="3.5703125" style="52" customWidth="1"/>
    <col min="5468" max="5468" width="3" style="52" customWidth="1"/>
    <col min="5469" max="5469" width="8.140625" style="52" customWidth="1"/>
    <col min="5470" max="5475" width="0" style="52" hidden="1" customWidth="1"/>
    <col min="5476" max="5476" width="7.5703125" style="52" customWidth="1"/>
    <col min="5477" max="5497" width="0" style="52" hidden="1" customWidth="1"/>
    <col min="5498" max="5498" width="7.85546875" style="52" customWidth="1"/>
    <col min="5499" max="5515" width="0" style="52" hidden="1" customWidth="1"/>
    <col min="5516" max="5516" width="7.5703125" style="52" customWidth="1"/>
    <col min="5517" max="5536" width="0" style="52" hidden="1" customWidth="1"/>
    <col min="5537" max="5537" width="7.5703125" style="52" customWidth="1"/>
    <col min="5538" max="5556" width="0" style="52" hidden="1" customWidth="1"/>
    <col min="5557" max="5557" width="8.28515625" style="52" customWidth="1"/>
    <col min="5558" max="5568" width="0" style="52" hidden="1" customWidth="1"/>
    <col min="5569" max="5571" width="8.140625" style="52" customWidth="1"/>
    <col min="5572" max="5572" width="7.42578125" style="52" customWidth="1"/>
    <col min="5573" max="5573" width="5.7109375" style="52" customWidth="1"/>
    <col min="5574" max="5574" width="6.42578125" style="52" customWidth="1"/>
    <col min="5575" max="5575" width="5.7109375" style="52" customWidth="1"/>
    <col min="5576" max="5576" width="5.42578125" style="52" customWidth="1"/>
    <col min="5577" max="5577" width="5.28515625" style="52" customWidth="1"/>
    <col min="5578" max="5578" width="5.42578125" style="52" customWidth="1"/>
    <col min="5579" max="5579" width="5.28515625" style="52" customWidth="1"/>
    <col min="5580" max="5580" width="5.85546875" style="52" customWidth="1"/>
    <col min="5581" max="5581" width="6.140625" style="52" customWidth="1"/>
    <col min="5582" max="5721" width="9.140625" style="52"/>
    <col min="5722" max="5722" width="18.5703125" style="52" customWidth="1"/>
    <col min="5723" max="5723" width="3.5703125" style="52" customWidth="1"/>
    <col min="5724" max="5724" width="3" style="52" customWidth="1"/>
    <col min="5725" max="5725" width="8.140625" style="52" customWidth="1"/>
    <col min="5726" max="5731" width="0" style="52" hidden="1" customWidth="1"/>
    <col min="5732" max="5732" width="7.5703125" style="52" customWidth="1"/>
    <col min="5733" max="5753" width="0" style="52" hidden="1" customWidth="1"/>
    <col min="5754" max="5754" width="7.85546875" style="52" customWidth="1"/>
    <col min="5755" max="5771" width="0" style="52" hidden="1" customWidth="1"/>
    <col min="5772" max="5772" width="7.5703125" style="52" customWidth="1"/>
    <col min="5773" max="5792" width="0" style="52" hidden="1" customWidth="1"/>
    <col min="5793" max="5793" width="7.5703125" style="52" customWidth="1"/>
    <col min="5794" max="5812" width="0" style="52" hidden="1" customWidth="1"/>
    <col min="5813" max="5813" width="8.28515625" style="52" customWidth="1"/>
    <col min="5814" max="5824" width="0" style="52" hidden="1" customWidth="1"/>
    <col min="5825" max="5827" width="8.140625" style="52" customWidth="1"/>
    <col min="5828" max="5828" width="7.42578125" style="52" customWidth="1"/>
    <col min="5829" max="5829" width="5.7109375" style="52" customWidth="1"/>
    <col min="5830" max="5830" width="6.42578125" style="52" customWidth="1"/>
    <col min="5831" max="5831" width="5.7109375" style="52" customWidth="1"/>
    <col min="5832" max="5832" width="5.42578125" style="52" customWidth="1"/>
    <col min="5833" max="5833" width="5.28515625" style="52" customWidth="1"/>
    <col min="5834" max="5834" width="5.42578125" style="52" customWidth="1"/>
    <col min="5835" max="5835" width="5.28515625" style="52" customWidth="1"/>
    <col min="5836" max="5836" width="5.85546875" style="52" customWidth="1"/>
    <col min="5837" max="5837" width="6.140625" style="52" customWidth="1"/>
    <col min="5838" max="5977" width="9.140625" style="52"/>
    <col min="5978" max="5978" width="18.5703125" style="52" customWidth="1"/>
    <col min="5979" max="5979" width="3.5703125" style="52" customWidth="1"/>
    <col min="5980" max="5980" width="3" style="52" customWidth="1"/>
    <col min="5981" max="5981" width="8.140625" style="52" customWidth="1"/>
    <col min="5982" max="5987" width="0" style="52" hidden="1" customWidth="1"/>
    <col min="5988" max="5988" width="7.5703125" style="52" customWidth="1"/>
    <col min="5989" max="6009" width="0" style="52" hidden="1" customWidth="1"/>
    <col min="6010" max="6010" width="7.85546875" style="52" customWidth="1"/>
    <col min="6011" max="6027" width="0" style="52" hidden="1" customWidth="1"/>
    <col min="6028" max="6028" width="7.5703125" style="52" customWidth="1"/>
    <col min="6029" max="6048" width="0" style="52" hidden="1" customWidth="1"/>
    <col min="6049" max="6049" width="7.5703125" style="52" customWidth="1"/>
    <col min="6050" max="6068" width="0" style="52" hidden="1" customWidth="1"/>
    <col min="6069" max="6069" width="8.28515625" style="52" customWidth="1"/>
    <col min="6070" max="6080" width="0" style="52" hidden="1" customWidth="1"/>
    <col min="6081" max="6083" width="8.140625" style="52" customWidth="1"/>
    <col min="6084" max="6084" width="7.42578125" style="52" customWidth="1"/>
    <col min="6085" max="6085" width="5.7109375" style="52" customWidth="1"/>
    <col min="6086" max="6086" width="6.42578125" style="52" customWidth="1"/>
    <col min="6087" max="6087" width="5.7109375" style="52" customWidth="1"/>
    <col min="6088" max="6088" width="5.42578125" style="52" customWidth="1"/>
    <col min="6089" max="6089" width="5.28515625" style="52" customWidth="1"/>
    <col min="6090" max="6090" width="5.42578125" style="52" customWidth="1"/>
    <col min="6091" max="6091" width="5.28515625" style="52" customWidth="1"/>
    <col min="6092" max="6092" width="5.85546875" style="52" customWidth="1"/>
    <col min="6093" max="6093" width="6.140625" style="52" customWidth="1"/>
    <col min="6094" max="6233" width="9.140625" style="52"/>
    <col min="6234" max="6234" width="18.5703125" style="52" customWidth="1"/>
    <col min="6235" max="6235" width="3.5703125" style="52" customWidth="1"/>
    <col min="6236" max="6236" width="3" style="52" customWidth="1"/>
    <col min="6237" max="6237" width="8.140625" style="52" customWidth="1"/>
    <col min="6238" max="6243" width="0" style="52" hidden="1" customWidth="1"/>
    <col min="6244" max="6244" width="7.5703125" style="52" customWidth="1"/>
    <col min="6245" max="6265" width="0" style="52" hidden="1" customWidth="1"/>
    <col min="6266" max="6266" width="7.85546875" style="52" customWidth="1"/>
    <col min="6267" max="6283" width="0" style="52" hidden="1" customWidth="1"/>
    <col min="6284" max="6284" width="7.5703125" style="52" customWidth="1"/>
    <col min="6285" max="6304" width="0" style="52" hidden="1" customWidth="1"/>
    <col min="6305" max="6305" width="7.5703125" style="52" customWidth="1"/>
    <col min="6306" max="6324" width="0" style="52" hidden="1" customWidth="1"/>
    <col min="6325" max="6325" width="8.28515625" style="52" customWidth="1"/>
    <col min="6326" max="6336" width="0" style="52" hidden="1" customWidth="1"/>
    <col min="6337" max="6339" width="8.140625" style="52" customWidth="1"/>
    <col min="6340" max="6340" width="7.42578125" style="52" customWidth="1"/>
    <col min="6341" max="6341" width="5.7109375" style="52" customWidth="1"/>
    <col min="6342" max="6342" width="6.42578125" style="52" customWidth="1"/>
    <col min="6343" max="6343" width="5.7109375" style="52" customWidth="1"/>
    <col min="6344" max="6344" width="5.42578125" style="52" customWidth="1"/>
    <col min="6345" max="6345" width="5.28515625" style="52" customWidth="1"/>
    <col min="6346" max="6346" width="5.42578125" style="52" customWidth="1"/>
    <col min="6347" max="6347" width="5.28515625" style="52" customWidth="1"/>
    <col min="6348" max="6348" width="5.85546875" style="52" customWidth="1"/>
    <col min="6349" max="6349" width="6.140625" style="52" customWidth="1"/>
    <col min="6350" max="6489" width="9.140625" style="52"/>
    <col min="6490" max="6490" width="18.5703125" style="52" customWidth="1"/>
    <col min="6491" max="6491" width="3.5703125" style="52" customWidth="1"/>
    <col min="6492" max="6492" width="3" style="52" customWidth="1"/>
    <col min="6493" max="6493" width="8.140625" style="52" customWidth="1"/>
    <col min="6494" max="6499" width="0" style="52" hidden="1" customWidth="1"/>
    <col min="6500" max="6500" width="7.5703125" style="52" customWidth="1"/>
    <col min="6501" max="6521" width="0" style="52" hidden="1" customWidth="1"/>
    <col min="6522" max="6522" width="7.85546875" style="52" customWidth="1"/>
    <col min="6523" max="6539" width="0" style="52" hidden="1" customWidth="1"/>
    <col min="6540" max="6540" width="7.5703125" style="52" customWidth="1"/>
    <col min="6541" max="6560" width="0" style="52" hidden="1" customWidth="1"/>
    <col min="6561" max="6561" width="7.5703125" style="52" customWidth="1"/>
    <col min="6562" max="6580" width="0" style="52" hidden="1" customWidth="1"/>
    <col min="6581" max="6581" width="8.28515625" style="52" customWidth="1"/>
    <col min="6582" max="6592" width="0" style="52" hidden="1" customWidth="1"/>
    <col min="6593" max="6595" width="8.140625" style="52" customWidth="1"/>
    <col min="6596" max="6596" width="7.42578125" style="52" customWidth="1"/>
    <col min="6597" max="6597" width="5.7109375" style="52" customWidth="1"/>
    <col min="6598" max="6598" width="6.42578125" style="52" customWidth="1"/>
    <col min="6599" max="6599" width="5.7109375" style="52" customWidth="1"/>
    <col min="6600" max="6600" width="5.42578125" style="52" customWidth="1"/>
    <col min="6601" max="6601" width="5.28515625" style="52" customWidth="1"/>
    <col min="6602" max="6602" width="5.42578125" style="52" customWidth="1"/>
    <col min="6603" max="6603" width="5.28515625" style="52" customWidth="1"/>
    <col min="6604" max="6604" width="5.85546875" style="52" customWidth="1"/>
    <col min="6605" max="6605" width="6.140625" style="52" customWidth="1"/>
    <col min="6606" max="6745" width="9.140625" style="52"/>
    <col min="6746" max="6746" width="18.5703125" style="52" customWidth="1"/>
    <col min="6747" max="6747" width="3.5703125" style="52" customWidth="1"/>
    <col min="6748" max="6748" width="3" style="52" customWidth="1"/>
    <col min="6749" max="6749" width="8.140625" style="52" customWidth="1"/>
    <col min="6750" max="6755" width="0" style="52" hidden="1" customWidth="1"/>
    <col min="6756" max="6756" width="7.5703125" style="52" customWidth="1"/>
    <col min="6757" max="6777" width="0" style="52" hidden="1" customWidth="1"/>
    <col min="6778" max="6778" width="7.85546875" style="52" customWidth="1"/>
    <col min="6779" max="6795" width="0" style="52" hidden="1" customWidth="1"/>
    <col min="6796" max="6796" width="7.5703125" style="52" customWidth="1"/>
    <col min="6797" max="6816" width="0" style="52" hidden="1" customWidth="1"/>
    <col min="6817" max="6817" width="7.5703125" style="52" customWidth="1"/>
    <col min="6818" max="6836" width="0" style="52" hidden="1" customWidth="1"/>
    <col min="6837" max="6837" width="8.28515625" style="52" customWidth="1"/>
    <col min="6838" max="6848" width="0" style="52" hidden="1" customWidth="1"/>
    <col min="6849" max="6851" width="8.140625" style="52" customWidth="1"/>
    <col min="6852" max="6852" width="7.42578125" style="52" customWidth="1"/>
    <col min="6853" max="6853" width="5.7109375" style="52" customWidth="1"/>
    <col min="6854" max="6854" width="6.42578125" style="52" customWidth="1"/>
    <col min="6855" max="6855" width="5.7109375" style="52" customWidth="1"/>
    <col min="6856" max="6856" width="5.42578125" style="52" customWidth="1"/>
    <col min="6857" max="6857" width="5.28515625" style="52" customWidth="1"/>
    <col min="6858" max="6858" width="5.42578125" style="52" customWidth="1"/>
    <col min="6859" max="6859" width="5.28515625" style="52" customWidth="1"/>
    <col min="6860" max="6860" width="5.85546875" style="52" customWidth="1"/>
    <col min="6861" max="6861" width="6.140625" style="52" customWidth="1"/>
    <col min="6862" max="7001" width="9.140625" style="52"/>
    <col min="7002" max="7002" width="18.5703125" style="52" customWidth="1"/>
    <col min="7003" max="7003" width="3.5703125" style="52" customWidth="1"/>
    <col min="7004" max="7004" width="3" style="52" customWidth="1"/>
    <col min="7005" max="7005" width="8.140625" style="52" customWidth="1"/>
    <col min="7006" max="7011" width="0" style="52" hidden="1" customWidth="1"/>
    <col min="7012" max="7012" width="7.5703125" style="52" customWidth="1"/>
    <col min="7013" max="7033" width="0" style="52" hidden="1" customWidth="1"/>
    <col min="7034" max="7034" width="7.85546875" style="52" customWidth="1"/>
    <col min="7035" max="7051" width="0" style="52" hidden="1" customWidth="1"/>
    <col min="7052" max="7052" width="7.5703125" style="52" customWidth="1"/>
    <col min="7053" max="7072" width="0" style="52" hidden="1" customWidth="1"/>
    <col min="7073" max="7073" width="7.5703125" style="52" customWidth="1"/>
    <col min="7074" max="7092" width="0" style="52" hidden="1" customWidth="1"/>
    <col min="7093" max="7093" width="8.28515625" style="52" customWidth="1"/>
    <col min="7094" max="7104" width="0" style="52" hidden="1" customWidth="1"/>
    <col min="7105" max="7107" width="8.140625" style="52" customWidth="1"/>
    <col min="7108" max="7108" width="7.42578125" style="52" customWidth="1"/>
    <col min="7109" max="7109" width="5.7109375" style="52" customWidth="1"/>
    <col min="7110" max="7110" width="6.42578125" style="52" customWidth="1"/>
    <col min="7111" max="7111" width="5.7109375" style="52" customWidth="1"/>
    <col min="7112" max="7112" width="5.42578125" style="52" customWidth="1"/>
    <col min="7113" max="7113" width="5.28515625" style="52" customWidth="1"/>
    <col min="7114" max="7114" width="5.42578125" style="52" customWidth="1"/>
    <col min="7115" max="7115" width="5.28515625" style="52" customWidth="1"/>
    <col min="7116" max="7116" width="5.85546875" style="52" customWidth="1"/>
    <col min="7117" max="7117" width="6.140625" style="52" customWidth="1"/>
    <col min="7118" max="7257" width="9.140625" style="52"/>
    <col min="7258" max="7258" width="18.5703125" style="52" customWidth="1"/>
    <col min="7259" max="7259" width="3.5703125" style="52" customWidth="1"/>
    <col min="7260" max="7260" width="3" style="52" customWidth="1"/>
    <col min="7261" max="7261" width="8.140625" style="52" customWidth="1"/>
    <col min="7262" max="7267" width="0" style="52" hidden="1" customWidth="1"/>
    <col min="7268" max="7268" width="7.5703125" style="52" customWidth="1"/>
    <col min="7269" max="7289" width="0" style="52" hidden="1" customWidth="1"/>
    <col min="7290" max="7290" width="7.85546875" style="52" customWidth="1"/>
    <col min="7291" max="7307" width="0" style="52" hidden="1" customWidth="1"/>
    <col min="7308" max="7308" width="7.5703125" style="52" customWidth="1"/>
    <col min="7309" max="7328" width="0" style="52" hidden="1" customWidth="1"/>
    <col min="7329" max="7329" width="7.5703125" style="52" customWidth="1"/>
    <col min="7330" max="7348" width="0" style="52" hidden="1" customWidth="1"/>
    <col min="7349" max="7349" width="8.28515625" style="52" customWidth="1"/>
    <col min="7350" max="7360" width="0" style="52" hidden="1" customWidth="1"/>
    <col min="7361" max="7363" width="8.140625" style="52" customWidth="1"/>
    <col min="7364" max="7364" width="7.42578125" style="52" customWidth="1"/>
    <col min="7365" max="7365" width="5.7109375" style="52" customWidth="1"/>
    <col min="7366" max="7366" width="6.42578125" style="52" customWidth="1"/>
    <col min="7367" max="7367" width="5.7109375" style="52" customWidth="1"/>
    <col min="7368" max="7368" width="5.42578125" style="52" customWidth="1"/>
    <col min="7369" max="7369" width="5.28515625" style="52" customWidth="1"/>
    <col min="7370" max="7370" width="5.42578125" style="52" customWidth="1"/>
    <col min="7371" max="7371" width="5.28515625" style="52" customWidth="1"/>
    <col min="7372" max="7372" width="5.85546875" style="52" customWidth="1"/>
    <col min="7373" max="7373" width="6.140625" style="52" customWidth="1"/>
    <col min="7374" max="7513" width="9.140625" style="52"/>
    <col min="7514" max="7514" width="18.5703125" style="52" customWidth="1"/>
    <col min="7515" max="7515" width="3.5703125" style="52" customWidth="1"/>
    <col min="7516" max="7516" width="3" style="52" customWidth="1"/>
    <col min="7517" max="7517" width="8.140625" style="52" customWidth="1"/>
    <col min="7518" max="7523" width="0" style="52" hidden="1" customWidth="1"/>
    <col min="7524" max="7524" width="7.5703125" style="52" customWidth="1"/>
    <col min="7525" max="7545" width="0" style="52" hidden="1" customWidth="1"/>
    <col min="7546" max="7546" width="7.85546875" style="52" customWidth="1"/>
    <col min="7547" max="7563" width="0" style="52" hidden="1" customWidth="1"/>
    <col min="7564" max="7564" width="7.5703125" style="52" customWidth="1"/>
    <col min="7565" max="7584" width="0" style="52" hidden="1" customWidth="1"/>
    <col min="7585" max="7585" width="7.5703125" style="52" customWidth="1"/>
    <col min="7586" max="7604" width="0" style="52" hidden="1" customWidth="1"/>
    <col min="7605" max="7605" width="8.28515625" style="52" customWidth="1"/>
    <col min="7606" max="7616" width="0" style="52" hidden="1" customWidth="1"/>
    <col min="7617" max="7619" width="8.140625" style="52" customWidth="1"/>
    <col min="7620" max="7620" width="7.42578125" style="52" customWidth="1"/>
    <col min="7621" max="7621" width="5.7109375" style="52" customWidth="1"/>
    <col min="7622" max="7622" width="6.42578125" style="52" customWidth="1"/>
    <col min="7623" max="7623" width="5.7109375" style="52" customWidth="1"/>
    <col min="7624" max="7624" width="5.42578125" style="52" customWidth="1"/>
    <col min="7625" max="7625" width="5.28515625" style="52" customWidth="1"/>
    <col min="7626" max="7626" width="5.42578125" style="52" customWidth="1"/>
    <col min="7627" max="7627" width="5.28515625" style="52" customWidth="1"/>
    <col min="7628" max="7628" width="5.85546875" style="52" customWidth="1"/>
    <col min="7629" max="7629" width="6.140625" style="52" customWidth="1"/>
    <col min="7630" max="7769" width="9.140625" style="52"/>
    <col min="7770" max="7770" width="18.5703125" style="52" customWidth="1"/>
    <col min="7771" max="7771" width="3.5703125" style="52" customWidth="1"/>
    <col min="7772" max="7772" width="3" style="52" customWidth="1"/>
    <col min="7773" max="7773" width="8.140625" style="52" customWidth="1"/>
    <col min="7774" max="7779" width="0" style="52" hidden="1" customWidth="1"/>
    <col min="7780" max="7780" width="7.5703125" style="52" customWidth="1"/>
    <col min="7781" max="7801" width="0" style="52" hidden="1" customWidth="1"/>
    <col min="7802" max="7802" width="7.85546875" style="52" customWidth="1"/>
    <col min="7803" max="7819" width="0" style="52" hidden="1" customWidth="1"/>
    <col min="7820" max="7820" width="7.5703125" style="52" customWidth="1"/>
    <col min="7821" max="7840" width="0" style="52" hidden="1" customWidth="1"/>
    <col min="7841" max="7841" width="7.5703125" style="52" customWidth="1"/>
    <col min="7842" max="7860" width="0" style="52" hidden="1" customWidth="1"/>
    <col min="7861" max="7861" width="8.28515625" style="52" customWidth="1"/>
    <col min="7862" max="7872" width="0" style="52" hidden="1" customWidth="1"/>
    <col min="7873" max="7875" width="8.140625" style="52" customWidth="1"/>
    <col min="7876" max="7876" width="7.42578125" style="52" customWidth="1"/>
    <col min="7877" max="7877" width="5.7109375" style="52" customWidth="1"/>
    <col min="7878" max="7878" width="6.42578125" style="52" customWidth="1"/>
    <col min="7879" max="7879" width="5.7109375" style="52" customWidth="1"/>
    <col min="7880" max="7880" width="5.42578125" style="52" customWidth="1"/>
    <col min="7881" max="7881" width="5.28515625" style="52" customWidth="1"/>
    <col min="7882" max="7882" width="5.42578125" style="52" customWidth="1"/>
    <col min="7883" max="7883" width="5.28515625" style="52" customWidth="1"/>
    <col min="7884" max="7884" width="5.85546875" style="52" customWidth="1"/>
    <col min="7885" max="7885" width="6.140625" style="52" customWidth="1"/>
    <col min="7886" max="8025" width="9.140625" style="52"/>
    <col min="8026" max="8026" width="18.5703125" style="52" customWidth="1"/>
    <col min="8027" max="8027" width="3.5703125" style="52" customWidth="1"/>
    <col min="8028" max="8028" width="3" style="52" customWidth="1"/>
    <col min="8029" max="8029" width="8.140625" style="52" customWidth="1"/>
    <col min="8030" max="8035" width="0" style="52" hidden="1" customWidth="1"/>
    <col min="8036" max="8036" width="7.5703125" style="52" customWidth="1"/>
    <col min="8037" max="8057" width="0" style="52" hidden="1" customWidth="1"/>
    <col min="8058" max="8058" width="7.85546875" style="52" customWidth="1"/>
    <col min="8059" max="8075" width="0" style="52" hidden="1" customWidth="1"/>
    <col min="8076" max="8076" width="7.5703125" style="52" customWidth="1"/>
    <col min="8077" max="8096" width="0" style="52" hidden="1" customWidth="1"/>
    <col min="8097" max="8097" width="7.5703125" style="52" customWidth="1"/>
    <col min="8098" max="8116" width="0" style="52" hidden="1" customWidth="1"/>
    <col min="8117" max="8117" width="8.28515625" style="52" customWidth="1"/>
    <col min="8118" max="8128" width="0" style="52" hidden="1" customWidth="1"/>
    <col min="8129" max="8131" width="8.140625" style="52" customWidth="1"/>
    <col min="8132" max="8132" width="7.42578125" style="52" customWidth="1"/>
    <col min="8133" max="8133" width="5.7109375" style="52" customWidth="1"/>
    <col min="8134" max="8134" width="6.42578125" style="52" customWidth="1"/>
    <col min="8135" max="8135" width="5.7109375" style="52" customWidth="1"/>
    <col min="8136" max="8136" width="5.42578125" style="52" customWidth="1"/>
    <col min="8137" max="8137" width="5.28515625" style="52" customWidth="1"/>
    <col min="8138" max="8138" width="5.42578125" style="52" customWidth="1"/>
    <col min="8139" max="8139" width="5.28515625" style="52" customWidth="1"/>
    <col min="8140" max="8140" width="5.85546875" style="52" customWidth="1"/>
    <col min="8141" max="8141" width="6.140625" style="52" customWidth="1"/>
    <col min="8142" max="8281" width="9.140625" style="52"/>
    <col min="8282" max="8282" width="18.5703125" style="52" customWidth="1"/>
    <col min="8283" max="8283" width="3.5703125" style="52" customWidth="1"/>
    <col min="8284" max="8284" width="3" style="52" customWidth="1"/>
    <col min="8285" max="8285" width="8.140625" style="52" customWidth="1"/>
    <col min="8286" max="8291" width="0" style="52" hidden="1" customWidth="1"/>
    <col min="8292" max="8292" width="7.5703125" style="52" customWidth="1"/>
    <col min="8293" max="8313" width="0" style="52" hidden="1" customWidth="1"/>
    <col min="8314" max="8314" width="7.85546875" style="52" customWidth="1"/>
    <col min="8315" max="8331" width="0" style="52" hidden="1" customWidth="1"/>
    <col min="8332" max="8332" width="7.5703125" style="52" customWidth="1"/>
    <col min="8333" max="8352" width="0" style="52" hidden="1" customWidth="1"/>
    <col min="8353" max="8353" width="7.5703125" style="52" customWidth="1"/>
    <col min="8354" max="8372" width="0" style="52" hidden="1" customWidth="1"/>
    <col min="8373" max="8373" width="8.28515625" style="52" customWidth="1"/>
    <col min="8374" max="8384" width="0" style="52" hidden="1" customWidth="1"/>
    <col min="8385" max="8387" width="8.140625" style="52" customWidth="1"/>
    <col min="8388" max="8388" width="7.42578125" style="52" customWidth="1"/>
    <col min="8389" max="8389" width="5.7109375" style="52" customWidth="1"/>
    <col min="8390" max="8390" width="6.42578125" style="52" customWidth="1"/>
    <col min="8391" max="8391" width="5.7109375" style="52" customWidth="1"/>
    <col min="8392" max="8392" width="5.42578125" style="52" customWidth="1"/>
    <col min="8393" max="8393" width="5.28515625" style="52" customWidth="1"/>
    <col min="8394" max="8394" width="5.42578125" style="52" customWidth="1"/>
    <col min="8395" max="8395" width="5.28515625" style="52" customWidth="1"/>
    <col min="8396" max="8396" width="5.85546875" style="52" customWidth="1"/>
    <col min="8397" max="8397" width="6.140625" style="52" customWidth="1"/>
    <col min="8398" max="8537" width="9.140625" style="52"/>
    <col min="8538" max="8538" width="18.5703125" style="52" customWidth="1"/>
    <col min="8539" max="8539" width="3.5703125" style="52" customWidth="1"/>
    <col min="8540" max="8540" width="3" style="52" customWidth="1"/>
    <col min="8541" max="8541" width="8.140625" style="52" customWidth="1"/>
    <col min="8542" max="8547" width="0" style="52" hidden="1" customWidth="1"/>
    <col min="8548" max="8548" width="7.5703125" style="52" customWidth="1"/>
    <col min="8549" max="8569" width="0" style="52" hidden="1" customWidth="1"/>
    <col min="8570" max="8570" width="7.85546875" style="52" customWidth="1"/>
    <col min="8571" max="8587" width="0" style="52" hidden="1" customWidth="1"/>
    <col min="8588" max="8588" width="7.5703125" style="52" customWidth="1"/>
    <col min="8589" max="8608" width="0" style="52" hidden="1" customWidth="1"/>
    <col min="8609" max="8609" width="7.5703125" style="52" customWidth="1"/>
    <col min="8610" max="8628" width="0" style="52" hidden="1" customWidth="1"/>
    <col min="8629" max="8629" width="8.28515625" style="52" customWidth="1"/>
    <col min="8630" max="8640" width="0" style="52" hidden="1" customWidth="1"/>
    <col min="8641" max="8643" width="8.140625" style="52" customWidth="1"/>
    <col min="8644" max="8644" width="7.42578125" style="52" customWidth="1"/>
    <col min="8645" max="8645" width="5.7109375" style="52" customWidth="1"/>
    <col min="8646" max="8646" width="6.42578125" style="52" customWidth="1"/>
    <col min="8647" max="8647" width="5.7109375" style="52" customWidth="1"/>
    <col min="8648" max="8648" width="5.42578125" style="52" customWidth="1"/>
    <col min="8649" max="8649" width="5.28515625" style="52" customWidth="1"/>
    <col min="8650" max="8650" width="5.42578125" style="52" customWidth="1"/>
    <col min="8651" max="8651" width="5.28515625" style="52" customWidth="1"/>
    <col min="8652" max="8652" width="5.85546875" style="52" customWidth="1"/>
    <col min="8653" max="8653" width="6.140625" style="52" customWidth="1"/>
    <col min="8654" max="8793" width="9.140625" style="52"/>
    <col min="8794" max="8794" width="18.5703125" style="52" customWidth="1"/>
    <col min="8795" max="8795" width="3.5703125" style="52" customWidth="1"/>
    <col min="8796" max="8796" width="3" style="52" customWidth="1"/>
    <col min="8797" max="8797" width="8.140625" style="52" customWidth="1"/>
    <col min="8798" max="8803" width="0" style="52" hidden="1" customWidth="1"/>
    <col min="8804" max="8804" width="7.5703125" style="52" customWidth="1"/>
    <col min="8805" max="8825" width="0" style="52" hidden="1" customWidth="1"/>
    <col min="8826" max="8826" width="7.85546875" style="52" customWidth="1"/>
    <col min="8827" max="8843" width="0" style="52" hidden="1" customWidth="1"/>
    <col min="8844" max="8844" width="7.5703125" style="52" customWidth="1"/>
    <col min="8845" max="8864" width="0" style="52" hidden="1" customWidth="1"/>
    <col min="8865" max="8865" width="7.5703125" style="52" customWidth="1"/>
    <col min="8866" max="8884" width="0" style="52" hidden="1" customWidth="1"/>
    <col min="8885" max="8885" width="8.28515625" style="52" customWidth="1"/>
    <col min="8886" max="8896" width="0" style="52" hidden="1" customWidth="1"/>
    <col min="8897" max="8899" width="8.140625" style="52" customWidth="1"/>
    <col min="8900" max="8900" width="7.42578125" style="52" customWidth="1"/>
    <col min="8901" max="8901" width="5.7109375" style="52" customWidth="1"/>
    <col min="8902" max="8902" width="6.42578125" style="52" customWidth="1"/>
    <col min="8903" max="8903" width="5.7109375" style="52" customWidth="1"/>
    <col min="8904" max="8904" width="5.42578125" style="52" customWidth="1"/>
    <col min="8905" max="8905" width="5.28515625" style="52" customWidth="1"/>
    <col min="8906" max="8906" width="5.42578125" style="52" customWidth="1"/>
    <col min="8907" max="8907" width="5.28515625" style="52" customWidth="1"/>
    <col min="8908" max="8908" width="5.85546875" style="52" customWidth="1"/>
    <col min="8909" max="8909" width="6.140625" style="52" customWidth="1"/>
    <col min="8910" max="9049" width="9.140625" style="52"/>
    <col min="9050" max="9050" width="18.5703125" style="52" customWidth="1"/>
    <col min="9051" max="9051" width="3.5703125" style="52" customWidth="1"/>
    <col min="9052" max="9052" width="3" style="52" customWidth="1"/>
    <col min="9053" max="9053" width="8.140625" style="52" customWidth="1"/>
    <col min="9054" max="9059" width="0" style="52" hidden="1" customWidth="1"/>
    <col min="9060" max="9060" width="7.5703125" style="52" customWidth="1"/>
    <col min="9061" max="9081" width="0" style="52" hidden="1" customWidth="1"/>
    <col min="9082" max="9082" width="7.85546875" style="52" customWidth="1"/>
    <col min="9083" max="9099" width="0" style="52" hidden="1" customWidth="1"/>
    <col min="9100" max="9100" width="7.5703125" style="52" customWidth="1"/>
    <col min="9101" max="9120" width="0" style="52" hidden="1" customWidth="1"/>
    <col min="9121" max="9121" width="7.5703125" style="52" customWidth="1"/>
    <col min="9122" max="9140" width="0" style="52" hidden="1" customWidth="1"/>
    <col min="9141" max="9141" width="8.28515625" style="52" customWidth="1"/>
    <col min="9142" max="9152" width="0" style="52" hidden="1" customWidth="1"/>
    <col min="9153" max="9155" width="8.140625" style="52" customWidth="1"/>
    <col min="9156" max="9156" width="7.42578125" style="52" customWidth="1"/>
    <col min="9157" max="9157" width="5.7109375" style="52" customWidth="1"/>
    <col min="9158" max="9158" width="6.42578125" style="52" customWidth="1"/>
    <col min="9159" max="9159" width="5.7109375" style="52" customWidth="1"/>
    <col min="9160" max="9160" width="5.42578125" style="52" customWidth="1"/>
    <col min="9161" max="9161" width="5.28515625" style="52" customWidth="1"/>
    <col min="9162" max="9162" width="5.42578125" style="52" customWidth="1"/>
    <col min="9163" max="9163" width="5.28515625" style="52" customWidth="1"/>
    <col min="9164" max="9164" width="5.85546875" style="52" customWidth="1"/>
    <col min="9165" max="9165" width="6.140625" style="52" customWidth="1"/>
    <col min="9166" max="9305" width="9.140625" style="52"/>
    <col min="9306" max="9306" width="18.5703125" style="52" customWidth="1"/>
    <col min="9307" max="9307" width="3.5703125" style="52" customWidth="1"/>
    <col min="9308" max="9308" width="3" style="52" customWidth="1"/>
    <col min="9309" max="9309" width="8.140625" style="52" customWidth="1"/>
    <col min="9310" max="9315" width="0" style="52" hidden="1" customWidth="1"/>
    <col min="9316" max="9316" width="7.5703125" style="52" customWidth="1"/>
    <col min="9317" max="9337" width="0" style="52" hidden="1" customWidth="1"/>
    <col min="9338" max="9338" width="7.85546875" style="52" customWidth="1"/>
    <col min="9339" max="9355" width="0" style="52" hidden="1" customWidth="1"/>
    <col min="9356" max="9356" width="7.5703125" style="52" customWidth="1"/>
    <col min="9357" max="9376" width="0" style="52" hidden="1" customWidth="1"/>
    <col min="9377" max="9377" width="7.5703125" style="52" customWidth="1"/>
    <col min="9378" max="9396" width="0" style="52" hidden="1" customWidth="1"/>
    <col min="9397" max="9397" width="8.28515625" style="52" customWidth="1"/>
    <col min="9398" max="9408" width="0" style="52" hidden="1" customWidth="1"/>
    <col min="9409" max="9411" width="8.140625" style="52" customWidth="1"/>
    <col min="9412" max="9412" width="7.42578125" style="52" customWidth="1"/>
    <col min="9413" max="9413" width="5.7109375" style="52" customWidth="1"/>
    <col min="9414" max="9414" width="6.42578125" style="52" customWidth="1"/>
    <col min="9415" max="9415" width="5.7109375" style="52" customWidth="1"/>
    <col min="9416" max="9416" width="5.42578125" style="52" customWidth="1"/>
    <col min="9417" max="9417" width="5.28515625" style="52" customWidth="1"/>
    <col min="9418" max="9418" width="5.42578125" style="52" customWidth="1"/>
    <col min="9419" max="9419" width="5.28515625" style="52" customWidth="1"/>
    <col min="9420" max="9420" width="5.85546875" style="52" customWidth="1"/>
    <col min="9421" max="9421" width="6.140625" style="52" customWidth="1"/>
    <col min="9422" max="9561" width="9.140625" style="52"/>
    <col min="9562" max="9562" width="18.5703125" style="52" customWidth="1"/>
    <col min="9563" max="9563" width="3.5703125" style="52" customWidth="1"/>
    <col min="9564" max="9564" width="3" style="52" customWidth="1"/>
    <col min="9565" max="9565" width="8.140625" style="52" customWidth="1"/>
    <col min="9566" max="9571" width="0" style="52" hidden="1" customWidth="1"/>
    <col min="9572" max="9572" width="7.5703125" style="52" customWidth="1"/>
    <col min="9573" max="9593" width="0" style="52" hidden="1" customWidth="1"/>
    <col min="9594" max="9594" width="7.85546875" style="52" customWidth="1"/>
    <col min="9595" max="9611" width="0" style="52" hidden="1" customWidth="1"/>
    <col min="9612" max="9612" width="7.5703125" style="52" customWidth="1"/>
    <col min="9613" max="9632" width="0" style="52" hidden="1" customWidth="1"/>
    <col min="9633" max="9633" width="7.5703125" style="52" customWidth="1"/>
    <col min="9634" max="9652" width="0" style="52" hidden="1" customWidth="1"/>
    <col min="9653" max="9653" width="8.28515625" style="52" customWidth="1"/>
    <col min="9654" max="9664" width="0" style="52" hidden="1" customWidth="1"/>
    <col min="9665" max="9667" width="8.140625" style="52" customWidth="1"/>
    <col min="9668" max="9668" width="7.42578125" style="52" customWidth="1"/>
    <col min="9669" max="9669" width="5.7109375" style="52" customWidth="1"/>
    <col min="9670" max="9670" width="6.42578125" style="52" customWidth="1"/>
    <col min="9671" max="9671" width="5.7109375" style="52" customWidth="1"/>
    <col min="9672" max="9672" width="5.42578125" style="52" customWidth="1"/>
    <col min="9673" max="9673" width="5.28515625" style="52" customWidth="1"/>
    <col min="9674" max="9674" width="5.42578125" style="52" customWidth="1"/>
    <col min="9675" max="9675" width="5.28515625" style="52" customWidth="1"/>
    <col min="9676" max="9676" width="5.85546875" style="52" customWidth="1"/>
    <col min="9677" max="9677" width="6.140625" style="52" customWidth="1"/>
    <col min="9678" max="9817" width="9.140625" style="52"/>
    <col min="9818" max="9818" width="18.5703125" style="52" customWidth="1"/>
    <col min="9819" max="9819" width="3.5703125" style="52" customWidth="1"/>
    <col min="9820" max="9820" width="3" style="52" customWidth="1"/>
    <col min="9821" max="9821" width="8.140625" style="52" customWidth="1"/>
    <col min="9822" max="9827" width="0" style="52" hidden="1" customWidth="1"/>
    <col min="9828" max="9828" width="7.5703125" style="52" customWidth="1"/>
    <col min="9829" max="9849" width="0" style="52" hidden="1" customWidth="1"/>
    <col min="9850" max="9850" width="7.85546875" style="52" customWidth="1"/>
    <col min="9851" max="9867" width="0" style="52" hidden="1" customWidth="1"/>
    <col min="9868" max="9868" width="7.5703125" style="52" customWidth="1"/>
    <col min="9869" max="9888" width="0" style="52" hidden="1" customWidth="1"/>
    <col min="9889" max="9889" width="7.5703125" style="52" customWidth="1"/>
    <col min="9890" max="9908" width="0" style="52" hidden="1" customWidth="1"/>
    <col min="9909" max="9909" width="8.28515625" style="52" customWidth="1"/>
    <col min="9910" max="9920" width="0" style="52" hidden="1" customWidth="1"/>
    <col min="9921" max="9923" width="8.140625" style="52" customWidth="1"/>
    <col min="9924" max="9924" width="7.42578125" style="52" customWidth="1"/>
    <col min="9925" max="9925" width="5.7109375" style="52" customWidth="1"/>
    <col min="9926" max="9926" width="6.42578125" style="52" customWidth="1"/>
    <col min="9927" max="9927" width="5.7109375" style="52" customWidth="1"/>
    <col min="9928" max="9928" width="5.42578125" style="52" customWidth="1"/>
    <col min="9929" max="9929" width="5.28515625" style="52" customWidth="1"/>
    <col min="9930" max="9930" width="5.42578125" style="52" customWidth="1"/>
    <col min="9931" max="9931" width="5.28515625" style="52" customWidth="1"/>
    <col min="9932" max="9932" width="5.85546875" style="52" customWidth="1"/>
    <col min="9933" max="9933" width="6.140625" style="52" customWidth="1"/>
    <col min="9934" max="10073" width="9.140625" style="52"/>
    <col min="10074" max="10074" width="18.5703125" style="52" customWidth="1"/>
    <col min="10075" max="10075" width="3.5703125" style="52" customWidth="1"/>
    <col min="10076" max="10076" width="3" style="52" customWidth="1"/>
    <col min="10077" max="10077" width="8.140625" style="52" customWidth="1"/>
    <col min="10078" max="10083" width="0" style="52" hidden="1" customWidth="1"/>
    <col min="10084" max="10084" width="7.5703125" style="52" customWidth="1"/>
    <col min="10085" max="10105" width="0" style="52" hidden="1" customWidth="1"/>
    <col min="10106" max="10106" width="7.85546875" style="52" customWidth="1"/>
    <col min="10107" max="10123" width="0" style="52" hidden="1" customWidth="1"/>
    <col min="10124" max="10124" width="7.5703125" style="52" customWidth="1"/>
    <col min="10125" max="10144" width="0" style="52" hidden="1" customWidth="1"/>
    <col min="10145" max="10145" width="7.5703125" style="52" customWidth="1"/>
    <col min="10146" max="10164" width="0" style="52" hidden="1" customWidth="1"/>
    <col min="10165" max="10165" width="8.28515625" style="52" customWidth="1"/>
    <col min="10166" max="10176" width="0" style="52" hidden="1" customWidth="1"/>
    <col min="10177" max="10179" width="8.140625" style="52" customWidth="1"/>
    <col min="10180" max="10180" width="7.42578125" style="52" customWidth="1"/>
    <col min="10181" max="10181" width="5.7109375" style="52" customWidth="1"/>
    <col min="10182" max="10182" width="6.42578125" style="52" customWidth="1"/>
    <col min="10183" max="10183" width="5.7109375" style="52" customWidth="1"/>
    <col min="10184" max="10184" width="5.42578125" style="52" customWidth="1"/>
    <col min="10185" max="10185" width="5.28515625" style="52" customWidth="1"/>
    <col min="10186" max="10186" width="5.42578125" style="52" customWidth="1"/>
    <col min="10187" max="10187" width="5.28515625" style="52" customWidth="1"/>
    <col min="10188" max="10188" width="5.85546875" style="52" customWidth="1"/>
    <col min="10189" max="10189" width="6.140625" style="52" customWidth="1"/>
    <col min="10190" max="10329" width="9.140625" style="52"/>
    <col min="10330" max="10330" width="18.5703125" style="52" customWidth="1"/>
    <col min="10331" max="10331" width="3.5703125" style="52" customWidth="1"/>
    <col min="10332" max="10332" width="3" style="52" customWidth="1"/>
    <col min="10333" max="10333" width="8.140625" style="52" customWidth="1"/>
    <col min="10334" max="10339" width="0" style="52" hidden="1" customWidth="1"/>
    <col min="10340" max="10340" width="7.5703125" style="52" customWidth="1"/>
    <col min="10341" max="10361" width="0" style="52" hidden="1" customWidth="1"/>
    <col min="10362" max="10362" width="7.85546875" style="52" customWidth="1"/>
    <col min="10363" max="10379" width="0" style="52" hidden="1" customWidth="1"/>
    <col min="10380" max="10380" width="7.5703125" style="52" customWidth="1"/>
    <col min="10381" max="10400" width="0" style="52" hidden="1" customWidth="1"/>
    <col min="10401" max="10401" width="7.5703125" style="52" customWidth="1"/>
    <col min="10402" max="10420" width="0" style="52" hidden="1" customWidth="1"/>
    <col min="10421" max="10421" width="8.28515625" style="52" customWidth="1"/>
    <col min="10422" max="10432" width="0" style="52" hidden="1" customWidth="1"/>
    <col min="10433" max="10435" width="8.140625" style="52" customWidth="1"/>
    <col min="10436" max="10436" width="7.42578125" style="52" customWidth="1"/>
    <col min="10437" max="10437" width="5.7109375" style="52" customWidth="1"/>
    <col min="10438" max="10438" width="6.42578125" style="52" customWidth="1"/>
    <col min="10439" max="10439" width="5.7109375" style="52" customWidth="1"/>
    <col min="10440" max="10440" width="5.42578125" style="52" customWidth="1"/>
    <col min="10441" max="10441" width="5.28515625" style="52" customWidth="1"/>
    <col min="10442" max="10442" width="5.42578125" style="52" customWidth="1"/>
    <col min="10443" max="10443" width="5.28515625" style="52" customWidth="1"/>
    <col min="10444" max="10444" width="5.85546875" style="52" customWidth="1"/>
    <col min="10445" max="10445" width="6.140625" style="52" customWidth="1"/>
    <col min="10446" max="10585" width="9.140625" style="52"/>
    <col min="10586" max="10586" width="18.5703125" style="52" customWidth="1"/>
    <col min="10587" max="10587" width="3.5703125" style="52" customWidth="1"/>
    <col min="10588" max="10588" width="3" style="52" customWidth="1"/>
    <col min="10589" max="10589" width="8.140625" style="52" customWidth="1"/>
    <col min="10590" max="10595" width="0" style="52" hidden="1" customWidth="1"/>
    <col min="10596" max="10596" width="7.5703125" style="52" customWidth="1"/>
    <col min="10597" max="10617" width="0" style="52" hidden="1" customWidth="1"/>
    <col min="10618" max="10618" width="7.85546875" style="52" customWidth="1"/>
    <col min="10619" max="10635" width="0" style="52" hidden="1" customWidth="1"/>
    <col min="10636" max="10636" width="7.5703125" style="52" customWidth="1"/>
    <col min="10637" max="10656" width="0" style="52" hidden="1" customWidth="1"/>
    <col min="10657" max="10657" width="7.5703125" style="52" customWidth="1"/>
    <col min="10658" max="10676" width="0" style="52" hidden="1" customWidth="1"/>
    <col min="10677" max="10677" width="8.28515625" style="52" customWidth="1"/>
    <col min="10678" max="10688" width="0" style="52" hidden="1" customWidth="1"/>
    <col min="10689" max="10691" width="8.140625" style="52" customWidth="1"/>
    <col min="10692" max="10692" width="7.42578125" style="52" customWidth="1"/>
    <col min="10693" max="10693" width="5.7109375" style="52" customWidth="1"/>
    <col min="10694" max="10694" width="6.42578125" style="52" customWidth="1"/>
    <col min="10695" max="10695" width="5.7109375" style="52" customWidth="1"/>
    <col min="10696" max="10696" width="5.42578125" style="52" customWidth="1"/>
    <col min="10697" max="10697" width="5.28515625" style="52" customWidth="1"/>
    <col min="10698" max="10698" width="5.42578125" style="52" customWidth="1"/>
    <col min="10699" max="10699" width="5.28515625" style="52" customWidth="1"/>
    <col min="10700" max="10700" width="5.85546875" style="52" customWidth="1"/>
    <col min="10701" max="10701" width="6.140625" style="52" customWidth="1"/>
    <col min="10702" max="10841" width="9.140625" style="52"/>
    <col min="10842" max="10842" width="18.5703125" style="52" customWidth="1"/>
    <col min="10843" max="10843" width="3.5703125" style="52" customWidth="1"/>
    <col min="10844" max="10844" width="3" style="52" customWidth="1"/>
    <col min="10845" max="10845" width="8.140625" style="52" customWidth="1"/>
    <col min="10846" max="10851" width="0" style="52" hidden="1" customWidth="1"/>
    <col min="10852" max="10852" width="7.5703125" style="52" customWidth="1"/>
    <col min="10853" max="10873" width="0" style="52" hidden="1" customWidth="1"/>
    <col min="10874" max="10874" width="7.85546875" style="52" customWidth="1"/>
    <col min="10875" max="10891" width="0" style="52" hidden="1" customWidth="1"/>
    <col min="10892" max="10892" width="7.5703125" style="52" customWidth="1"/>
    <col min="10893" max="10912" width="0" style="52" hidden="1" customWidth="1"/>
    <col min="10913" max="10913" width="7.5703125" style="52" customWidth="1"/>
    <col min="10914" max="10932" width="0" style="52" hidden="1" customWidth="1"/>
    <col min="10933" max="10933" width="8.28515625" style="52" customWidth="1"/>
    <col min="10934" max="10944" width="0" style="52" hidden="1" customWidth="1"/>
    <col min="10945" max="10947" width="8.140625" style="52" customWidth="1"/>
    <col min="10948" max="10948" width="7.42578125" style="52" customWidth="1"/>
    <col min="10949" max="10949" width="5.7109375" style="52" customWidth="1"/>
    <col min="10950" max="10950" width="6.42578125" style="52" customWidth="1"/>
    <col min="10951" max="10951" width="5.7109375" style="52" customWidth="1"/>
    <col min="10952" max="10952" width="5.42578125" style="52" customWidth="1"/>
    <col min="10953" max="10953" width="5.28515625" style="52" customWidth="1"/>
    <col min="10954" max="10954" width="5.42578125" style="52" customWidth="1"/>
    <col min="10955" max="10955" width="5.28515625" style="52" customWidth="1"/>
    <col min="10956" max="10956" width="5.85546875" style="52" customWidth="1"/>
    <col min="10957" max="10957" width="6.140625" style="52" customWidth="1"/>
    <col min="10958" max="11097" width="9.140625" style="52"/>
    <col min="11098" max="11098" width="18.5703125" style="52" customWidth="1"/>
    <col min="11099" max="11099" width="3.5703125" style="52" customWidth="1"/>
    <col min="11100" max="11100" width="3" style="52" customWidth="1"/>
    <col min="11101" max="11101" width="8.140625" style="52" customWidth="1"/>
    <col min="11102" max="11107" width="0" style="52" hidden="1" customWidth="1"/>
    <col min="11108" max="11108" width="7.5703125" style="52" customWidth="1"/>
    <col min="11109" max="11129" width="0" style="52" hidden="1" customWidth="1"/>
    <col min="11130" max="11130" width="7.85546875" style="52" customWidth="1"/>
    <col min="11131" max="11147" width="0" style="52" hidden="1" customWidth="1"/>
    <col min="11148" max="11148" width="7.5703125" style="52" customWidth="1"/>
    <col min="11149" max="11168" width="0" style="52" hidden="1" customWidth="1"/>
    <col min="11169" max="11169" width="7.5703125" style="52" customWidth="1"/>
    <col min="11170" max="11188" width="0" style="52" hidden="1" customWidth="1"/>
    <col min="11189" max="11189" width="8.28515625" style="52" customWidth="1"/>
    <col min="11190" max="11200" width="0" style="52" hidden="1" customWidth="1"/>
    <col min="11201" max="11203" width="8.140625" style="52" customWidth="1"/>
    <col min="11204" max="11204" width="7.42578125" style="52" customWidth="1"/>
    <col min="11205" max="11205" width="5.7109375" style="52" customWidth="1"/>
    <col min="11206" max="11206" width="6.42578125" style="52" customWidth="1"/>
    <col min="11207" max="11207" width="5.7109375" style="52" customWidth="1"/>
    <col min="11208" max="11208" width="5.42578125" style="52" customWidth="1"/>
    <col min="11209" max="11209" width="5.28515625" style="52" customWidth="1"/>
    <col min="11210" max="11210" width="5.42578125" style="52" customWidth="1"/>
    <col min="11211" max="11211" width="5.28515625" style="52" customWidth="1"/>
    <col min="11212" max="11212" width="5.85546875" style="52" customWidth="1"/>
    <col min="11213" max="11213" width="6.140625" style="52" customWidth="1"/>
    <col min="11214" max="11353" width="9.140625" style="52"/>
    <col min="11354" max="11354" width="18.5703125" style="52" customWidth="1"/>
    <col min="11355" max="11355" width="3.5703125" style="52" customWidth="1"/>
    <col min="11356" max="11356" width="3" style="52" customWidth="1"/>
    <col min="11357" max="11357" width="8.140625" style="52" customWidth="1"/>
    <col min="11358" max="11363" width="0" style="52" hidden="1" customWidth="1"/>
    <col min="11364" max="11364" width="7.5703125" style="52" customWidth="1"/>
    <col min="11365" max="11385" width="0" style="52" hidden="1" customWidth="1"/>
    <col min="11386" max="11386" width="7.85546875" style="52" customWidth="1"/>
    <col min="11387" max="11403" width="0" style="52" hidden="1" customWidth="1"/>
    <col min="11404" max="11404" width="7.5703125" style="52" customWidth="1"/>
    <col min="11405" max="11424" width="0" style="52" hidden="1" customWidth="1"/>
    <col min="11425" max="11425" width="7.5703125" style="52" customWidth="1"/>
    <col min="11426" max="11444" width="0" style="52" hidden="1" customWidth="1"/>
    <col min="11445" max="11445" width="8.28515625" style="52" customWidth="1"/>
    <col min="11446" max="11456" width="0" style="52" hidden="1" customWidth="1"/>
    <col min="11457" max="11459" width="8.140625" style="52" customWidth="1"/>
    <col min="11460" max="11460" width="7.42578125" style="52" customWidth="1"/>
    <col min="11461" max="11461" width="5.7109375" style="52" customWidth="1"/>
    <col min="11462" max="11462" width="6.42578125" style="52" customWidth="1"/>
    <col min="11463" max="11463" width="5.7109375" style="52" customWidth="1"/>
    <col min="11464" max="11464" width="5.42578125" style="52" customWidth="1"/>
    <col min="11465" max="11465" width="5.28515625" style="52" customWidth="1"/>
    <col min="11466" max="11466" width="5.42578125" style="52" customWidth="1"/>
    <col min="11467" max="11467" width="5.28515625" style="52" customWidth="1"/>
    <col min="11468" max="11468" width="5.85546875" style="52" customWidth="1"/>
    <col min="11469" max="11469" width="6.140625" style="52" customWidth="1"/>
    <col min="11470" max="11609" width="9.140625" style="52"/>
    <col min="11610" max="11610" width="18.5703125" style="52" customWidth="1"/>
    <col min="11611" max="11611" width="3.5703125" style="52" customWidth="1"/>
    <col min="11612" max="11612" width="3" style="52" customWidth="1"/>
    <col min="11613" max="11613" width="8.140625" style="52" customWidth="1"/>
    <col min="11614" max="11619" width="0" style="52" hidden="1" customWidth="1"/>
    <col min="11620" max="11620" width="7.5703125" style="52" customWidth="1"/>
    <col min="11621" max="11641" width="0" style="52" hidden="1" customWidth="1"/>
    <col min="11642" max="11642" width="7.85546875" style="52" customWidth="1"/>
    <col min="11643" max="11659" width="0" style="52" hidden="1" customWidth="1"/>
    <col min="11660" max="11660" width="7.5703125" style="52" customWidth="1"/>
    <col min="11661" max="11680" width="0" style="52" hidden="1" customWidth="1"/>
    <col min="11681" max="11681" width="7.5703125" style="52" customWidth="1"/>
    <col min="11682" max="11700" width="0" style="52" hidden="1" customWidth="1"/>
    <col min="11701" max="11701" width="8.28515625" style="52" customWidth="1"/>
    <col min="11702" max="11712" width="0" style="52" hidden="1" customWidth="1"/>
    <col min="11713" max="11715" width="8.140625" style="52" customWidth="1"/>
    <col min="11716" max="11716" width="7.42578125" style="52" customWidth="1"/>
    <col min="11717" max="11717" width="5.7109375" style="52" customWidth="1"/>
    <col min="11718" max="11718" width="6.42578125" style="52" customWidth="1"/>
    <col min="11719" max="11719" width="5.7109375" style="52" customWidth="1"/>
    <col min="11720" max="11720" width="5.42578125" style="52" customWidth="1"/>
    <col min="11721" max="11721" width="5.28515625" style="52" customWidth="1"/>
    <col min="11722" max="11722" width="5.42578125" style="52" customWidth="1"/>
    <col min="11723" max="11723" width="5.28515625" style="52" customWidth="1"/>
    <col min="11724" max="11724" width="5.85546875" style="52" customWidth="1"/>
    <col min="11725" max="11725" width="6.140625" style="52" customWidth="1"/>
    <col min="11726" max="11865" width="9.140625" style="52"/>
    <col min="11866" max="11866" width="18.5703125" style="52" customWidth="1"/>
    <col min="11867" max="11867" width="3.5703125" style="52" customWidth="1"/>
    <col min="11868" max="11868" width="3" style="52" customWidth="1"/>
    <col min="11869" max="11869" width="8.140625" style="52" customWidth="1"/>
    <col min="11870" max="11875" width="0" style="52" hidden="1" customWidth="1"/>
    <col min="11876" max="11876" width="7.5703125" style="52" customWidth="1"/>
    <col min="11877" max="11897" width="0" style="52" hidden="1" customWidth="1"/>
    <col min="11898" max="11898" width="7.85546875" style="52" customWidth="1"/>
    <col min="11899" max="11915" width="0" style="52" hidden="1" customWidth="1"/>
    <col min="11916" max="11916" width="7.5703125" style="52" customWidth="1"/>
    <col min="11917" max="11936" width="0" style="52" hidden="1" customWidth="1"/>
    <col min="11937" max="11937" width="7.5703125" style="52" customWidth="1"/>
    <col min="11938" max="11956" width="0" style="52" hidden="1" customWidth="1"/>
    <col min="11957" max="11957" width="8.28515625" style="52" customWidth="1"/>
    <col min="11958" max="11968" width="0" style="52" hidden="1" customWidth="1"/>
    <col min="11969" max="11971" width="8.140625" style="52" customWidth="1"/>
    <col min="11972" max="11972" width="7.42578125" style="52" customWidth="1"/>
    <col min="11973" max="11973" width="5.7109375" style="52" customWidth="1"/>
    <col min="11974" max="11974" width="6.42578125" style="52" customWidth="1"/>
    <col min="11975" max="11975" width="5.7109375" style="52" customWidth="1"/>
    <col min="11976" max="11976" width="5.42578125" style="52" customWidth="1"/>
    <col min="11977" max="11977" width="5.28515625" style="52" customWidth="1"/>
    <col min="11978" max="11978" width="5.42578125" style="52" customWidth="1"/>
    <col min="11979" max="11979" width="5.28515625" style="52" customWidth="1"/>
    <col min="11980" max="11980" width="5.85546875" style="52" customWidth="1"/>
    <col min="11981" max="11981" width="6.140625" style="52" customWidth="1"/>
    <col min="11982" max="12121" width="9.140625" style="52"/>
    <col min="12122" max="12122" width="18.5703125" style="52" customWidth="1"/>
    <col min="12123" max="12123" width="3.5703125" style="52" customWidth="1"/>
    <col min="12124" max="12124" width="3" style="52" customWidth="1"/>
    <col min="12125" max="12125" width="8.140625" style="52" customWidth="1"/>
    <col min="12126" max="12131" width="0" style="52" hidden="1" customWidth="1"/>
    <col min="12132" max="12132" width="7.5703125" style="52" customWidth="1"/>
    <col min="12133" max="12153" width="0" style="52" hidden="1" customWidth="1"/>
    <col min="12154" max="12154" width="7.85546875" style="52" customWidth="1"/>
    <col min="12155" max="12171" width="0" style="52" hidden="1" customWidth="1"/>
    <col min="12172" max="12172" width="7.5703125" style="52" customWidth="1"/>
    <col min="12173" max="12192" width="0" style="52" hidden="1" customWidth="1"/>
    <col min="12193" max="12193" width="7.5703125" style="52" customWidth="1"/>
    <col min="12194" max="12212" width="0" style="52" hidden="1" customWidth="1"/>
    <col min="12213" max="12213" width="8.28515625" style="52" customWidth="1"/>
    <col min="12214" max="12224" width="0" style="52" hidden="1" customWidth="1"/>
    <col min="12225" max="12227" width="8.140625" style="52" customWidth="1"/>
    <col min="12228" max="12228" width="7.42578125" style="52" customWidth="1"/>
    <col min="12229" max="12229" width="5.7109375" style="52" customWidth="1"/>
    <col min="12230" max="12230" width="6.42578125" style="52" customWidth="1"/>
    <col min="12231" max="12231" width="5.7109375" style="52" customWidth="1"/>
    <col min="12232" max="12232" width="5.42578125" style="52" customWidth="1"/>
    <col min="12233" max="12233" width="5.28515625" style="52" customWidth="1"/>
    <col min="12234" max="12234" width="5.42578125" style="52" customWidth="1"/>
    <col min="12235" max="12235" width="5.28515625" style="52" customWidth="1"/>
    <col min="12236" max="12236" width="5.85546875" style="52" customWidth="1"/>
    <col min="12237" max="12237" width="6.140625" style="52" customWidth="1"/>
    <col min="12238" max="12377" width="9.140625" style="52"/>
    <col min="12378" max="12378" width="18.5703125" style="52" customWidth="1"/>
    <col min="12379" max="12379" width="3.5703125" style="52" customWidth="1"/>
    <col min="12380" max="12380" width="3" style="52" customWidth="1"/>
    <col min="12381" max="12381" width="8.140625" style="52" customWidth="1"/>
    <col min="12382" max="12387" width="0" style="52" hidden="1" customWidth="1"/>
    <col min="12388" max="12388" width="7.5703125" style="52" customWidth="1"/>
    <col min="12389" max="12409" width="0" style="52" hidden="1" customWidth="1"/>
    <col min="12410" max="12410" width="7.85546875" style="52" customWidth="1"/>
    <col min="12411" max="12427" width="0" style="52" hidden="1" customWidth="1"/>
    <col min="12428" max="12428" width="7.5703125" style="52" customWidth="1"/>
    <col min="12429" max="12448" width="0" style="52" hidden="1" customWidth="1"/>
    <col min="12449" max="12449" width="7.5703125" style="52" customWidth="1"/>
    <col min="12450" max="12468" width="0" style="52" hidden="1" customWidth="1"/>
    <col min="12469" max="12469" width="8.28515625" style="52" customWidth="1"/>
    <col min="12470" max="12480" width="0" style="52" hidden="1" customWidth="1"/>
    <col min="12481" max="12483" width="8.140625" style="52" customWidth="1"/>
    <col min="12484" max="12484" width="7.42578125" style="52" customWidth="1"/>
    <col min="12485" max="12485" width="5.7109375" style="52" customWidth="1"/>
    <col min="12486" max="12486" width="6.42578125" style="52" customWidth="1"/>
    <col min="12487" max="12487" width="5.7109375" style="52" customWidth="1"/>
    <col min="12488" max="12488" width="5.42578125" style="52" customWidth="1"/>
    <col min="12489" max="12489" width="5.28515625" style="52" customWidth="1"/>
    <col min="12490" max="12490" width="5.42578125" style="52" customWidth="1"/>
    <col min="12491" max="12491" width="5.28515625" style="52" customWidth="1"/>
    <col min="12492" max="12492" width="5.85546875" style="52" customWidth="1"/>
    <col min="12493" max="12493" width="6.140625" style="52" customWidth="1"/>
    <col min="12494" max="12633" width="9.140625" style="52"/>
    <col min="12634" max="12634" width="18.5703125" style="52" customWidth="1"/>
    <col min="12635" max="12635" width="3.5703125" style="52" customWidth="1"/>
    <col min="12636" max="12636" width="3" style="52" customWidth="1"/>
    <col min="12637" max="12637" width="8.140625" style="52" customWidth="1"/>
    <col min="12638" max="12643" width="0" style="52" hidden="1" customWidth="1"/>
    <col min="12644" max="12644" width="7.5703125" style="52" customWidth="1"/>
    <col min="12645" max="12665" width="0" style="52" hidden="1" customWidth="1"/>
    <col min="12666" max="12666" width="7.85546875" style="52" customWidth="1"/>
    <col min="12667" max="12683" width="0" style="52" hidden="1" customWidth="1"/>
    <col min="12684" max="12684" width="7.5703125" style="52" customWidth="1"/>
    <col min="12685" max="12704" width="0" style="52" hidden="1" customWidth="1"/>
    <col min="12705" max="12705" width="7.5703125" style="52" customWidth="1"/>
    <col min="12706" max="12724" width="0" style="52" hidden="1" customWidth="1"/>
    <col min="12725" max="12725" width="8.28515625" style="52" customWidth="1"/>
    <col min="12726" max="12736" width="0" style="52" hidden="1" customWidth="1"/>
    <col min="12737" max="12739" width="8.140625" style="52" customWidth="1"/>
    <col min="12740" max="12740" width="7.42578125" style="52" customWidth="1"/>
    <col min="12741" max="12741" width="5.7109375" style="52" customWidth="1"/>
    <col min="12742" max="12742" width="6.42578125" style="52" customWidth="1"/>
    <col min="12743" max="12743" width="5.7109375" style="52" customWidth="1"/>
    <col min="12744" max="12744" width="5.42578125" style="52" customWidth="1"/>
    <col min="12745" max="12745" width="5.28515625" style="52" customWidth="1"/>
    <col min="12746" max="12746" width="5.42578125" style="52" customWidth="1"/>
    <col min="12747" max="12747" width="5.28515625" style="52" customWidth="1"/>
    <col min="12748" max="12748" width="5.85546875" style="52" customWidth="1"/>
    <col min="12749" max="12749" width="6.140625" style="52" customWidth="1"/>
    <col min="12750" max="12889" width="9.140625" style="52"/>
    <col min="12890" max="12890" width="18.5703125" style="52" customWidth="1"/>
    <col min="12891" max="12891" width="3.5703125" style="52" customWidth="1"/>
    <col min="12892" max="12892" width="3" style="52" customWidth="1"/>
    <col min="12893" max="12893" width="8.140625" style="52" customWidth="1"/>
    <col min="12894" max="12899" width="0" style="52" hidden="1" customWidth="1"/>
    <col min="12900" max="12900" width="7.5703125" style="52" customWidth="1"/>
    <col min="12901" max="12921" width="0" style="52" hidden="1" customWidth="1"/>
    <col min="12922" max="12922" width="7.85546875" style="52" customWidth="1"/>
    <col min="12923" max="12939" width="0" style="52" hidden="1" customWidth="1"/>
    <col min="12940" max="12940" width="7.5703125" style="52" customWidth="1"/>
    <col min="12941" max="12960" width="0" style="52" hidden="1" customWidth="1"/>
    <col min="12961" max="12961" width="7.5703125" style="52" customWidth="1"/>
    <col min="12962" max="12980" width="0" style="52" hidden="1" customWidth="1"/>
    <col min="12981" max="12981" width="8.28515625" style="52" customWidth="1"/>
    <col min="12982" max="12992" width="0" style="52" hidden="1" customWidth="1"/>
    <col min="12993" max="12995" width="8.140625" style="52" customWidth="1"/>
    <col min="12996" max="12996" width="7.42578125" style="52" customWidth="1"/>
    <col min="12997" max="12997" width="5.7109375" style="52" customWidth="1"/>
    <col min="12998" max="12998" width="6.42578125" style="52" customWidth="1"/>
    <col min="12999" max="12999" width="5.7109375" style="52" customWidth="1"/>
    <col min="13000" max="13000" width="5.42578125" style="52" customWidth="1"/>
    <col min="13001" max="13001" width="5.28515625" style="52" customWidth="1"/>
    <col min="13002" max="13002" width="5.42578125" style="52" customWidth="1"/>
    <col min="13003" max="13003" width="5.28515625" style="52" customWidth="1"/>
    <col min="13004" max="13004" width="5.85546875" style="52" customWidth="1"/>
    <col min="13005" max="13005" width="6.140625" style="52" customWidth="1"/>
    <col min="13006" max="13145" width="9.140625" style="52"/>
    <col min="13146" max="13146" width="18.5703125" style="52" customWidth="1"/>
    <col min="13147" max="13147" width="3.5703125" style="52" customWidth="1"/>
    <col min="13148" max="13148" width="3" style="52" customWidth="1"/>
    <col min="13149" max="13149" width="8.140625" style="52" customWidth="1"/>
    <col min="13150" max="13155" width="0" style="52" hidden="1" customWidth="1"/>
    <col min="13156" max="13156" width="7.5703125" style="52" customWidth="1"/>
    <col min="13157" max="13177" width="0" style="52" hidden="1" customWidth="1"/>
    <col min="13178" max="13178" width="7.85546875" style="52" customWidth="1"/>
    <col min="13179" max="13195" width="0" style="52" hidden="1" customWidth="1"/>
    <col min="13196" max="13196" width="7.5703125" style="52" customWidth="1"/>
    <col min="13197" max="13216" width="0" style="52" hidden="1" customWidth="1"/>
    <col min="13217" max="13217" width="7.5703125" style="52" customWidth="1"/>
    <col min="13218" max="13236" width="0" style="52" hidden="1" customWidth="1"/>
    <col min="13237" max="13237" width="8.28515625" style="52" customWidth="1"/>
    <col min="13238" max="13248" width="0" style="52" hidden="1" customWidth="1"/>
    <col min="13249" max="13251" width="8.140625" style="52" customWidth="1"/>
    <col min="13252" max="13252" width="7.42578125" style="52" customWidth="1"/>
    <col min="13253" max="13253" width="5.7109375" style="52" customWidth="1"/>
    <col min="13254" max="13254" width="6.42578125" style="52" customWidth="1"/>
    <col min="13255" max="13255" width="5.7109375" style="52" customWidth="1"/>
    <col min="13256" max="13256" width="5.42578125" style="52" customWidth="1"/>
    <col min="13257" max="13257" width="5.28515625" style="52" customWidth="1"/>
    <col min="13258" max="13258" width="5.42578125" style="52" customWidth="1"/>
    <col min="13259" max="13259" width="5.28515625" style="52" customWidth="1"/>
    <col min="13260" max="13260" width="5.85546875" style="52" customWidth="1"/>
    <col min="13261" max="13261" width="6.140625" style="52" customWidth="1"/>
    <col min="13262" max="13401" width="9.140625" style="52"/>
    <col min="13402" max="13402" width="18.5703125" style="52" customWidth="1"/>
    <col min="13403" max="13403" width="3.5703125" style="52" customWidth="1"/>
    <col min="13404" max="13404" width="3" style="52" customWidth="1"/>
    <col min="13405" max="13405" width="8.140625" style="52" customWidth="1"/>
    <col min="13406" max="13411" width="0" style="52" hidden="1" customWidth="1"/>
    <col min="13412" max="13412" width="7.5703125" style="52" customWidth="1"/>
    <col min="13413" max="13433" width="0" style="52" hidden="1" customWidth="1"/>
    <col min="13434" max="13434" width="7.85546875" style="52" customWidth="1"/>
    <col min="13435" max="13451" width="0" style="52" hidden="1" customWidth="1"/>
    <col min="13452" max="13452" width="7.5703125" style="52" customWidth="1"/>
    <col min="13453" max="13472" width="0" style="52" hidden="1" customWidth="1"/>
    <col min="13473" max="13473" width="7.5703125" style="52" customWidth="1"/>
    <col min="13474" max="13492" width="0" style="52" hidden="1" customWidth="1"/>
    <col min="13493" max="13493" width="8.28515625" style="52" customWidth="1"/>
    <col min="13494" max="13504" width="0" style="52" hidden="1" customWidth="1"/>
    <col min="13505" max="13507" width="8.140625" style="52" customWidth="1"/>
    <col min="13508" max="13508" width="7.42578125" style="52" customWidth="1"/>
    <col min="13509" max="13509" width="5.7109375" style="52" customWidth="1"/>
    <col min="13510" max="13510" width="6.42578125" style="52" customWidth="1"/>
    <col min="13511" max="13511" width="5.7109375" style="52" customWidth="1"/>
    <col min="13512" max="13512" width="5.42578125" style="52" customWidth="1"/>
    <col min="13513" max="13513" width="5.28515625" style="52" customWidth="1"/>
    <col min="13514" max="13514" width="5.42578125" style="52" customWidth="1"/>
    <col min="13515" max="13515" width="5.28515625" style="52" customWidth="1"/>
    <col min="13516" max="13516" width="5.85546875" style="52" customWidth="1"/>
    <col min="13517" max="13517" width="6.140625" style="52" customWidth="1"/>
    <col min="13518" max="13657" width="9.140625" style="52"/>
    <col min="13658" max="13658" width="18.5703125" style="52" customWidth="1"/>
    <col min="13659" max="13659" width="3.5703125" style="52" customWidth="1"/>
    <col min="13660" max="13660" width="3" style="52" customWidth="1"/>
    <col min="13661" max="13661" width="8.140625" style="52" customWidth="1"/>
    <col min="13662" max="13667" width="0" style="52" hidden="1" customWidth="1"/>
    <col min="13668" max="13668" width="7.5703125" style="52" customWidth="1"/>
    <col min="13669" max="13689" width="0" style="52" hidden="1" customWidth="1"/>
    <col min="13690" max="13690" width="7.85546875" style="52" customWidth="1"/>
    <col min="13691" max="13707" width="0" style="52" hidden="1" customWidth="1"/>
    <col min="13708" max="13708" width="7.5703125" style="52" customWidth="1"/>
    <col min="13709" max="13728" width="0" style="52" hidden="1" customWidth="1"/>
    <col min="13729" max="13729" width="7.5703125" style="52" customWidth="1"/>
    <col min="13730" max="13748" width="0" style="52" hidden="1" customWidth="1"/>
    <col min="13749" max="13749" width="8.28515625" style="52" customWidth="1"/>
    <col min="13750" max="13760" width="0" style="52" hidden="1" customWidth="1"/>
    <col min="13761" max="13763" width="8.140625" style="52" customWidth="1"/>
    <col min="13764" max="13764" width="7.42578125" style="52" customWidth="1"/>
    <col min="13765" max="13765" width="5.7109375" style="52" customWidth="1"/>
    <col min="13766" max="13766" width="6.42578125" style="52" customWidth="1"/>
    <col min="13767" max="13767" width="5.7109375" style="52" customWidth="1"/>
    <col min="13768" max="13768" width="5.42578125" style="52" customWidth="1"/>
    <col min="13769" max="13769" width="5.28515625" style="52" customWidth="1"/>
    <col min="13770" max="13770" width="5.42578125" style="52" customWidth="1"/>
    <col min="13771" max="13771" width="5.28515625" style="52" customWidth="1"/>
    <col min="13772" max="13772" width="5.85546875" style="52" customWidth="1"/>
    <col min="13773" max="13773" width="6.140625" style="52" customWidth="1"/>
    <col min="13774" max="13913" width="9.140625" style="52"/>
    <col min="13914" max="13914" width="18.5703125" style="52" customWidth="1"/>
    <col min="13915" max="13915" width="3.5703125" style="52" customWidth="1"/>
    <col min="13916" max="13916" width="3" style="52" customWidth="1"/>
    <col min="13917" max="13917" width="8.140625" style="52" customWidth="1"/>
    <col min="13918" max="13923" width="0" style="52" hidden="1" customWidth="1"/>
    <col min="13924" max="13924" width="7.5703125" style="52" customWidth="1"/>
    <col min="13925" max="13945" width="0" style="52" hidden="1" customWidth="1"/>
    <col min="13946" max="13946" width="7.85546875" style="52" customWidth="1"/>
    <col min="13947" max="13963" width="0" style="52" hidden="1" customWidth="1"/>
    <col min="13964" max="13964" width="7.5703125" style="52" customWidth="1"/>
    <col min="13965" max="13984" width="0" style="52" hidden="1" customWidth="1"/>
    <col min="13985" max="13985" width="7.5703125" style="52" customWidth="1"/>
    <col min="13986" max="14004" width="0" style="52" hidden="1" customWidth="1"/>
    <col min="14005" max="14005" width="8.28515625" style="52" customWidth="1"/>
    <col min="14006" max="14016" width="0" style="52" hidden="1" customWidth="1"/>
    <col min="14017" max="14019" width="8.140625" style="52" customWidth="1"/>
    <col min="14020" max="14020" width="7.42578125" style="52" customWidth="1"/>
    <col min="14021" max="14021" width="5.7109375" style="52" customWidth="1"/>
    <col min="14022" max="14022" width="6.42578125" style="52" customWidth="1"/>
    <col min="14023" max="14023" width="5.7109375" style="52" customWidth="1"/>
    <col min="14024" max="14024" width="5.42578125" style="52" customWidth="1"/>
    <col min="14025" max="14025" width="5.28515625" style="52" customWidth="1"/>
    <col min="14026" max="14026" width="5.42578125" style="52" customWidth="1"/>
    <col min="14027" max="14027" width="5.28515625" style="52" customWidth="1"/>
    <col min="14028" max="14028" width="5.85546875" style="52" customWidth="1"/>
    <col min="14029" max="14029" width="6.140625" style="52" customWidth="1"/>
    <col min="14030" max="14169" width="9.140625" style="52"/>
    <col min="14170" max="14170" width="18.5703125" style="52" customWidth="1"/>
    <col min="14171" max="14171" width="3.5703125" style="52" customWidth="1"/>
    <col min="14172" max="14172" width="3" style="52" customWidth="1"/>
    <col min="14173" max="14173" width="8.140625" style="52" customWidth="1"/>
    <col min="14174" max="14179" width="0" style="52" hidden="1" customWidth="1"/>
    <col min="14180" max="14180" width="7.5703125" style="52" customWidth="1"/>
    <col min="14181" max="14201" width="0" style="52" hidden="1" customWidth="1"/>
    <col min="14202" max="14202" width="7.85546875" style="52" customWidth="1"/>
    <col min="14203" max="14219" width="0" style="52" hidden="1" customWidth="1"/>
    <col min="14220" max="14220" width="7.5703125" style="52" customWidth="1"/>
    <col min="14221" max="14240" width="0" style="52" hidden="1" customWidth="1"/>
    <col min="14241" max="14241" width="7.5703125" style="52" customWidth="1"/>
    <col min="14242" max="14260" width="0" style="52" hidden="1" customWidth="1"/>
    <col min="14261" max="14261" width="8.28515625" style="52" customWidth="1"/>
    <col min="14262" max="14272" width="0" style="52" hidden="1" customWidth="1"/>
    <col min="14273" max="14275" width="8.140625" style="52" customWidth="1"/>
    <col min="14276" max="14276" width="7.42578125" style="52" customWidth="1"/>
    <col min="14277" max="14277" width="5.7109375" style="52" customWidth="1"/>
    <col min="14278" max="14278" width="6.42578125" style="52" customWidth="1"/>
    <col min="14279" max="14279" width="5.7109375" style="52" customWidth="1"/>
    <col min="14280" max="14280" width="5.42578125" style="52" customWidth="1"/>
    <col min="14281" max="14281" width="5.28515625" style="52" customWidth="1"/>
    <col min="14282" max="14282" width="5.42578125" style="52" customWidth="1"/>
    <col min="14283" max="14283" width="5.28515625" style="52" customWidth="1"/>
    <col min="14284" max="14284" width="5.85546875" style="52" customWidth="1"/>
    <col min="14285" max="14285" width="6.140625" style="52" customWidth="1"/>
    <col min="14286" max="14425" width="9.140625" style="52"/>
    <col min="14426" max="14426" width="18.5703125" style="52" customWidth="1"/>
    <col min="14427" max="14427" width="3.5703125" style="52" customWidth="1"/>
    <col min="14428" max="14428" width="3" style="52" customWidth="1"/>
    <col min="14429" max="14429" width="8.140625" style="52" customWidth="1"/>
    <col min="14430" max="14435" width="0" style="52" hidden="1" customWidth="1"/>
    <col min="14436" max="14436" width="7.5703125" style="52" customWidth="1"/>
    <col min="14437" max="14457" width="0" style="52" hidden="1" customWidth="1"/>
    <col min="14458" max="14458" width="7.85546875" style="52" customWidth="1"/>
    <col min="14459" max="14475" width="0" style="52" hidden="1" customWidth="1"/>
    <col min="14476" max="14476" width="7.5703125" style="52" customWidth="1"/>
    <col min="14477" max="14496" width="0" style="52" hidden="1" customWidth="1"/>
    <col min="14497" max="14497" width="7.5703125" style="52" customWidth="1"/>
    <col min="14498" max="14516" width="0" style="52" hidden="1" customWidth="1"/>
    <col min="14517" max="14517" width="8.28515625" style="52" customWidth="1"/>
    <col min="14518" max="14528" width="0" style="52" hidden="1" customWidth="1"/>
    <col min="14529" max="14531" width="8.140625" style="52" customWidth="1"/>
    <col min="14532" max="14532" width="7.42578125" style="52" customWidth="1"/>
    <col min="14533" max="14533" width="5.7109375" style="52" customWidth="1"/>
    <col min="14534" max="14534" width="6.42578125" style="52" customWidth="1"/>
    <col min="14535" max="14535" width="5.7109375" style="52" customWidth="1"/>
    <col min="14536" max="14536" width="5.42578125" style="52" customWidth="1"/>
    <col min="14537" max="14537" width="5.28515625" style="52" customWidth="1"/>
    <col min="14538" max="14538" width="5.42578125" style="52" customWidth="1"/>
    <col min="14539" max="14539" width="5.28515625" style="52" customWidth="1"/>
    <col min="14540" max="14540" width="5.85546875" style="52" customWidth="1"/>
    <col min="14541" max="14541" width="6.140625" style="52" customWidth="1"/>
    <col min="14542" max="14681" width="9.140625" style="52"/>
    <col min="14682" max="14682" width="18.5703125" style="52" customWidth="1"/>
    <col min="14683" max="14683" width="3.5703125" style="52" customWidth="1"/>
    <col min="14684" max="14684" width="3" style="52" customWidth="1"/>
    <col min="14685" max="14685" width="8.140625" style="52" customWidth="1"/>
    <col min="14686" max="14691" width="0" style="52" hidden="1" customWidth="1"/>
    <col min="14692" max="14692" width="7.5703125" style="52" customWidth="1"/>
    <col min="14693" max="14713" width="0" style="52" hidden="1" customWidth="1"/>
    <col min="14714" max="14714" width="7.85546875" style="52" customWidth="1"/>
    <col min="14715" max="14731" width="0" style="52" hidden="1" customWidth="1"/>
    <col min="14732" max="14732" width="7.5703125" style="52" customWidth="1"/>
    <col min="14733" max="14752" width="0" style="52" hidden="1" customWidth="1"/>
    <col min="14753" max="14753" width="7.5703125" style="52" customWidth="1"/>
    <col min="14754" max="14772" width="0" style="52" hidden="1" customWidth="1"/>
    <col min="14773" max="14773" width="8.28515625" style="52" customWidth="1"/>
    <col min="14774" max="14784" width="0" style="52" hidden="1" customWidth="1"/>
    <col min="14785" max="14787" width="8.140625" style="52" customWidth="1"/>
    <col min="14788" max="14788" width="7.42578125" style="52" customWidth="1"/>
    <col min="14789" max="14789" width="5.7109375" style="52" customWidth="1"/>
    <col min="14790" max="14790" width="6.42578125" style="52" customWidth="1"/>
    <col min="14791" max="14791" width="5.7109375" style="52" customWidth="1"/>
    <col min="14792" max="14792" width="5.42578125" style="52" customWidth="1"/>
    <col min="14793" max="14793" width="5.28515625" style="52" customWidth="1"/>
    <col min="14794" max="14794" width="5.42578125" style="52" customWidth="1"/>
    <col min="14795" max="14795" width="5.28515625" style="52" customWidth="1"/>
    <col min="14796" max="14796" width="5.85546875" style="52" customWidth="1"/>
    <col min="14797" max="14797" width="6.140625" style="52" customWidth="1"/>
    <col min="14798" max="14937" width="9.140625" style="52"/>
    <col min="14938" max="14938" width="18.5703125" style="52" customWidth="1"/>
    <col min="14939" max="14939" width="3.5703125" style="52" customWidth="1"/>
    <col min="14940" max="14940" width="3" style="52" customWidth="1"/>
    <col min="14941" max="14941" width="8.140625" style="52" customWidth="1"/>
    <col min="14942" max="14947" width="0" style="52" hidden="1" customWidth="1"/>
    <col min="14948" max="14948" width="7.5703125" style="52" customWidth="1"/>
    <col min="14949" max="14969" width="0" style="52" hidden="1" customWidth="1"/>
    <col min="14970" max="14970" width="7.85546875" style="52" customWidth="1"/>
    <col min="14971" max="14987" width="0" style="52" hidden="1" customWidth="1"/>
    <col min="14988" max="14988" width="7.5703125" style="52" customWidth="1"/>
    <col min="14989" max="15008" width="0" style="52" hidden="1" customWidth="1"/>
    <col min="15009" max="15009" width="7.5703125" style="52" customWidth="1"/>
    <col min="15010" max="15028" width="0" style="52" hidden="1" customWidth="1"/>
    <col min="15029" max="15029" width="8.28515625" style="52" customWidth="1"/>
    <col min="15030" max="15040" width="0" style="52" hidden="1" customWidth="1"/>
    <col min="15041" max="15043" width="8.140625" style="52" customWidth="1"/>
    <col min="15044" max="15044" width="7.42578125" style="52" customWidth="1"/>
    <col min="15045" max="15045" width="5.7109375" style="52" customWidth="1"/>
    <col min="15046" max="15046" width="6.42578125" style="52" customWidth="1"/>
    <col min="15047" max="15047" width="5.7109375" style="52" customWidth="1"/>
    <col min="15048" max="15048" width="5.42578125" style="52" customWidth="1"/>
    <col min="15049" max="15049" width="5.28515625" style="52" customWidth="1"/>
    <col min="15050" max="15050" width="5.42578125" style="52" customWidth="1"/>
    <col min="15051" max="15051" width="5.28515625" style="52" customWidth="1"/>
    <col min="15052" max="15052" width="5.85546875" style="52" customWidth="1"/>
    <col min="15053" max="15053" width="6.140625" style="52" customWidth="1"/>
    <col min="15054" max="15193" width="9.140625" style="52"/>
    <col min="15194" max="15194" width="18.5703125" style="52" customWidth="1"/>
    <col min="15195" max="15195" width="3.5703125" style="52" customWidth="1"/>
    <col min="15196" max="15196" width="3" style="52" customWidth="1"/>
    <col min="15197" max="15197" width="8.140625" style="52" customWidth="1"/>
    <col min="15198" max="15203" width="0" style="52" hidden="1" customWidth="1"/>
    <col min="15204" max="15204" width="7.5703125" style="52" customWidth="1"/>
    <col min="15205" max="15225" width="0" style="52" hidden="1" customWidth="1"/>
    <col min="15226" max="15226" width="7.85546875" style="52" customWidth="1"/>
    <col min="15227" max="15243" width="0" style="52" hidden="1" customWidth="1"/>
    <col min="15244" max="15244" width="7.5703125" style="52" customWidth="1"/>
    <col min="15245" max="15264" width="0" style="52" hidden="1" customWidth="1"/>
    <col min="15265" max="15265" width="7.5703125" style="52" customWidth="1"/>
    <col min="15266" max="15284" width="0" style="52" hidden="1" customWidth="1"/>
    <col min="15285" max="15285" width="8.28515625" style="52" customWidth="1"/>
    <col min="15286" max="15296" width="0" style="52" hidden="1" customWidth="1"/>
    <col min="15297" max="15299" width="8.140625" style="52" customWidth="1"/>
    <col min="15300" max="15300" width="7.42578125" style="52" customWidth="1"/>
    <col min="15301" max="15301" width="5.7109375" style="52" customWidth="1"/>
    <col min="15302" max="15302" width="6.42578125" style="52" customWidth="1"/>
    <col min="15303" max="15303" width="5.7109375" style="52" customWidth="1"/>
    <col min="15304" max="15304" width="5.42578125" style="52" customWidth="1"/>
    <col min="15305" max="15305" width="5.28515625" style="52" customWidth="1"/>
    <col min="15306" max="15306" width="5.42578125" style="52" customWidth="1"/>
    <col min="15307" max="15307" width="5.28515625" style="52" customWidth="1"/>
    <col min="15308" max="15308" width="5.85546875" style="52" customWidth="1"/>
    <col min="15309" max="15309" width="6.140625" style="52" customWidth="1"/>
    <col min="15310" max="15449" width="9.140625" style="52"/>
    <col min="15450" max="15450" width="18.5703125" style="52" customWidth="1"/>
    <col min="15451" max="15451" width="3.5703125" style="52" customWidth="1"/>
    <col min="15452" max="15452" width="3" style="52" customWidth="1"/>
    <col min="15453" max="15453" width="8.140625" style="52" customWidth="1"/>
    <col min="15454" max="15459" width="0" style="52" hidden="1" customWidth="1"/>
    <col min="15460" max="15460" width="7.5703125" style="52" customWidth="1"/>
    <col min="15461" max="15481" width="0" style="52" hidden="1" customWidth="1"/>
    <col min="15482" max="15482" width="7.85546875" style="52" customWidth="1"/>
    <col min="15483" max="15499" width="0" style="52" hidden="1" customWidth="1"/>
    <col min="15500" max="15500" width="7.5703125" style="52" customWidth="1"/>
    <col min="15501" max="15520" width="0" style="52" hidden="1" customWidth="1"/>
    <col min="15521" max="15521" width="7.5703125" style="52" customWidth="1"/>
    <col min="15522" max="15540" width="0" style="52" hidden="1" customWidth="1"/>
    <col min="15541" max="15541" width="8.28515625" style="52" customWidth="1"/>
    <col min="15542" max="15552" width="0" style="52" hidden="1" customWidth="1"/>
    <col min="15553" max="15555" width="8.140625" style="52" customWidth="1"/>
    <col min="15556" max="15556" width="7.42578125" style="52" customWidth="1"/>
    <col min="15557" max="15557" width="5.7109375" style="52" customWidth="1"/>
    <col min="15558" max="15558" width="6.42578125" style="52" customWidth="1"/>
    <col min="15559" max="15559" width="5.7109375" style="52" customWidth="1"/>
    <col min="15560" max="15560" width="5.42578125" style="52" customWidth="1"/>
    <col min="15561" max="15561" width="5.28515625" style="52" customWidth="1"/>
    <col min="15562" max="15562" width="5.42578125" style="52" customWidth="1"/>
    <col min="15563" max="15563" width="5.28515625" style="52" customWidth="1"/>
    <col min="15564" max="15564" width="5.85546875" style="52" customWidth="1"/>
    <col min="15565" max="15565" width="6.140625" style="52" customWidth="1"/>
    <col min="15566" max="15705" width="9.140625" style="52"/>
    <col min="15706" max="15706" width="18.5703125" style="52" customWidth="1"/>
    <col min="15707" max="15707" width="3.5703125" style="52" customWidth="1"/>
    <col min="15708" max="15708" width="3" style="52" customWidth="1"/>
    <col min="15709" max="15709" width="8.140625" style="52" customWidth="1"/>
    <col min="15710" max="15715" width="0" style="52" hidden="1" customWidth="1"/>
    <col min="15716" max="15716" width="7.5703125" style="52" customWidth="1"/>
    <col min="15717" max="15737" width="0" style="52" hidden="1" customWidth="1"/>
    <col min="15738" max="15738" width="7.85546875" style="52" customWidth="1"/>
    <col min="15739" max="15755" width="0" style="52" hidden="1" customWidth="1"/>
    <col min="15756" max="15756" width="7.5703125" style="52" customWidth="1"/>
    <col min="15757" max="15776" width="0" style="52" hidden="1" customWidth="1"/>
    <col min="15777" max="15777" width="7.5703125" style="52" customWidth="1"/>
    <col min="15778" max="15796" width="0" style="52" hidden="1" customWidth="1"/>
    <col min="15797" max="15797" width="8.28515625" style="52" customWidth="1"/>
    <col min="15798" max="15808" width="0" style="52" hidden="1" customWidth="1"/>
    <col min="15809" max="15811" width="8.140625" style="52" customWidth="1"/>
    <col min="15812" max="15812" width="7.42578125" style="52" customWidth="1"/>
    <col min="15813" max="15813" width="5.7109375" style="52" customWidth="1"/>
    <col min="15814" max="15814" width="6.42578125" style="52" customWidth="1"/>
    <col min="15815" max="15815" width="5.7109375" style="52" customWidth="1"/>
    <col min="15816" max="15816" width="5.42578125" style="52" customWidth="1"/>
    <col min="15817" max="15817" width="5.28515625" style="52" customWidth="1"/>
    <col min="15818" max="15818" width="5.42578125" style="52" customWidth="1"/>
    <col min="15819" max="15819" width="5.28515625" style="52" customWidth="1"/>
    <col min="15820" max="15820" width="5.85546875" style="52" customWidth="1"/>
    <col min="15821" max="15821" width="6.140625" style="52" customWidth="1"/>
    <col min="15822" max="15961" width="9.140625" style="52"/>
    <col min="15962" max="15962" width="18.5703125" style="52" customWidth="1"/>
    <col min="15963" max="15963" width="3.5703125" style="52" customWidth="1"/>
    <col min="15964" max="15964" width="3" style="52" customWidth="1"/>
    <col min="15965" max="15965" width="8.140625" style="52" customWidth="1"/>
    <col min="15966" max="15971" width="0" style="52" hidden="1" customWidth="1"/>
    <col min="15972" max="15972" width="7.5703125" style="52" customWidth="1"/>
    <col min="15973" max="15993" width="0" style="52" hidden="1" customWidth="1"/>
    <col min="15994" max="15994" width="7.85546875" style="52" customWidth="1"/>
    <col min="15995" max="16011" width="0" style="52" hidden="1" customWidth="1"/>
    <col min="16012" max="16012" width="7.5703125" style="52" customWidth="1"/>
    <col min="16013" max="16032" width="0" style="52" hidden="1" customWidth="1"/>
    <col min="16033" max="16033" width="7.5703125" style="52" customWidth="1"/>
    <col min="16034" max="16052" width="0" style="52" hidden="1" customWidth="1"/>
    <col min="16053" max="16053" width="8.28515625" style="52" customWidth="1"/>
    <col min="16054" max="16064" width="0" style="52" hidden="1" customWidth="1"/>
    <col min="16065" max="16067" width="8.140625" style="52" customWidth="1"/>
    <col min="16068" max="16068" width="7.42578125" style="52" customWidth="1"/>
    <col min="16069" max="16069" width="5.7109375" style="52" customWidth="1"/>
    <col min="16070" max="16070" width="6.42578125" style="52" customWidth="1"/>
    <col min="16071" max="16071" width="5.7109375" style="52" customWidth="1"/>
    <col min="16072" max="16072" width="5.42578125" style="52" customWidth="1"/>
    <col min="16073" max="16073" width="5.28515625" style="52" customWidth="1"/>
    <col min="16074" max="16074" width="5.42578125" style="52" customWidth="1"/>
    <col min="16075" max="16075" width="5.28515625" style="52" customWidth="1"/>
    <col min="16076" max="16076" width="5.85546875" style="52" customWidth="1"/>
    <col min="16077" max="16077" width="6.140625" style="52" customWidth="1"/>
    <col min="16078" max="16384" width="9.140625" style="52"/>
  </cols>
  <sheetData>
    <row r="1" spans="1:46" ht="17.25" customHeight="1">
      <c r="A1" s="50"/>
      <c r="B1" s="50"/>
      <c r="C1" s="50"/>
      <c r="D1" s="50"/>
      <c r="E1" s="51"/>
    </row>
    <row r="2" spans="1:46" ht="18.75" customHeight="1">
      <c r="A2" s="267" t="s">
        <v>285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58"/>
      <c r="AS2" s="58"/>
      <c r="AT2" s="58"/>
    </row>
    <row r="3" spans="1:46" ht="24" customHeight="1">
      <c r="A3" s="268" t="s">
        <v>286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F3" s="268"/>
      <c r="AG3" s="268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</row>
    <row r="4" spans="1:46" s="72" customFormat="1" ht="60" customHeight="1">
      <c r="A4" s="59" t="s">
        <v>287</v>
      </c>
      <c r="B4" s="59" t="s">
        <v>288</v>
      </c>
      <c r="C4" s="59" t="s">
        <v>289</v>
      </c>
      <c r="D4" s="60" t="s">
        <v>290</v>
      </c>
      <c r="E4" s="61" t="s">
        <v>291</v>
      </c>
      <c r="F4" s="61" t="s">
        <v>292</v>
      </c>
      <c r="G4" s="61" t="s">
        <v>293</v>
      </c>
      <c r="H4" s="61" t="s">
        <v>294</v>
      </c>
      <c r="I4" s="61" t="s">
        <v>295</v>
      </c>
      <c r="J4" s="62" t="s">
        <v>296</v>
      </c>
      <c r="K4" s="62" t="s">
        <v>297</v>
      </c>
      <c r="L4" s="62" t="s">
        <v>298</v>
      </c>
      <c r="M4" s="63" t="s">
        <v>299</v>
      </c>
      <c r="N4" s="63" t="s">
        <v>300</v>
      </c>
      <c r="O4" s="64" t="s">
        <v>301</v>
      </c>
      <c r="P4" s="65" t="s">
        <v>302</v>
      </c>
      <c r="Q4" s="66" t="s">
        <v>303</v>
      </c>
      <c r="R4" s="66" t="s">
        <v>304</v>
      </c>
      <c r="S4" s="66" t="s">
        <v>305</v>
      </c>
      <c r="T4" s="66" t="s">
        <v>306</v>
      </c>
      <c r="U4" s="66" t="s">
        <v>307</v>
      </c>
      <c r="V4" s="66" t="s">
        <v>308</v>
      </c>
      <c r="W4" s="67" t="s">
        <v>309</v>
      </c>
      <c r="X4" s="67" t="s">
        <v>310</v>
      </c>
      <c r="Y4" s="68" t="s">
        <v>311</v>
      </c>
      <c r="Z4" s="68" t="s">
        <v>312</v>
      </c>
      <c r="AA4" s="69" t="s">
        <v>313</v>
      </c>
      <c r="AB4" s="69" t="s">
        <v>314</v>
      </c>
      <c r="AC4" s="69" t="s">
        <v>315</v>
      </c>
      <c r="AD4" s="69" t="s">
        <v>316</v>
      </c>
      <c r="AE4" s="69" t="s">
        <v>317</v>
      </c>
      <c r="AF4" s="69" t="s">
        <v>318</v>
      </c>
      <c r="AG4" s="69" t="s">
        <v>319</v>
      </c>
      <c r="AH4" s="69" t="s">
        <v>320</v>
      </c>
      <c r="AI4" s="69" t="s">
        <v>321</v>
      </c>
      <c r="AJ4" s="69" t="s">
        <v>322</v>
      </c>
      <c r="AK4" s="67" t="s">
        <v>323</v>
      </c>
      <c r="AL4" s="67" t="s">
        <v>75</v>
      </c>
      <c r="AM4" s="70" t="s">
        <v>324</v>
      </c>
      <c r="AN4" s="70" t="s">
        <v>325</v>
      </c>
      <c r="AO4" s="70" t="s">
        <v>326</v>
      </c>
      <c r="AP4" s="67" t="s">
        <v>327</v>
      </c>
      <c r="AQ4" s="67" t="s">
        <v>328</v>
      </c>
      <c r="AR4" s="71" t="s">
        <v>329</v>
      </c>
      <c r="AS4" s="71" t="s">
        <v>330</v>
      </c>
    </row>
    <row r="5" spans="1:46" s="77" customFormat="1" ht="21.75" customHeight="1">
      <c r="A5" s="73" t="s">
        <v>331</v>
      </c>
      <c r="B5" s="74" t="s">
        <v>332</v>
      </c>
      <c r="C5" s="74"/>
      <c r="D5" s="74" t="s">
        <v>333</v>
      </c>
      <c r="E5" s="74" t="s">
        <v>334</v>
      </c>
      <c r="F5" s="74" t="s">
        <v>335</v>
      </c>
      <c r="G5" s="74" t="s">
        <v>336</v>
      </c>
      <c r="H5" s="75">
        <f t="shared" ref="H5:O5" si="0">H6+H7+H9+H10+H11</f>
        <v>20717.100000000002</v>
      </c>
      <c r="I5" s="75">
        <f t="shared" si="0"/>
        <v>20717.699999999997</v>
      </c>
      <c r="J5" s="75">
        <f t="shared" si="0"/>
        <v>20301.7</v>
      </c>
      <c r="K5" s="75">
        <f t="shared" si="0"/>
        <v>27987.5</v>
      </c>
      <c r="L5" s="75">
        <f t="shared" si="0"/>
        <v>25210.3</v>
      </c>
      <c r="M5" s="75">
        <f t="shared" si="0"/>
        <v>30634.2</v>
      </c>
      <c r="N5" s="75">
        <f t="shared" si="0"/>
        <v>30375.9</v>
      </c>
      <c r="O5" s="75">
        <f t="shared" si="0"/>
        <v>31437.599999999999</v>
      </c>
      <c r="P5" s="75">
        <f>P6+P7+P9+P10+P11+P8</f>
        <v>35339.399999999994</v>
      </c>
      <c r="Q5" s="75">
        <f>Q6+Q7+Q9+Q10+Q8+Q11</f>
        <v>32182.100000000002</v>
      </c>
      <c r="R5" s="75">
        <f t="shared" ref="R5:AQ5" si="1">R6+R7+R9+R10+R8+R11</f>
        <v>33635.9</v>
      </c>
      <c r="S5" s="75">
        <f t="shared" si="1"/>
        <v>9286.9</v>
      </c>
      <c r="T5" s="75">
        <f t="shared" si="1"/>
        <v>33639.699999999997</v>
      </c>
      <c r="U5" s="75">
        <f t="shared" si="1"/>
        <v>33903.700000000004</v>
      </c>
      <c r="V5" s="75">
        <f t="shared" si="1"/>
        <v>24664.600000000002</v>
      </c>
      <c r="W5" s="75">
        <f t="shared" si="1"/>
        <v>33412.9</v>
      </c>
      <c r="X5" s="75">
        <f t="shared" si="1"/>
        <v>34259.600000000006</v>
      </c>
      <c r="Y5" s="75">
        <f t="shared" si="1"/>
        <v>34259.700000000004</v>
      </c>
      <c r="Z5" s="75">
        <f t="shared" si="1"/>
        <v>31772.3</v>
      </c>
      <c r="AA5" s="75">
        <f>Y5-X5</f>
        <v>9.9999999998544808E-2</v>
      </c>
      <c r="AB5" s="75">
        <f>Y5/X5*100</f>
        <v>100.00029188898878</v>
      </c>
      <c r="AC5" s="75">
        <f>Z5-Y5</f>
        <v>-2487.4000000000051</v>
      </c>
      <c r="AD5" s="75">
        <f>Z5/Y5*100</f>
        <v>92.739574485474179</v>
      </c>
      <c r="AE5" s="75">
        <f>Z5/Q5*100</f>
        <v>98.72662132054775</v>
      </c>
      <c r="AF5" s="75">
        <f>Z5/X5*100</f>
        <v>92.739845182080344</v>
      </c>
      <c r="AG5" s="75">
        <f>Z5/P5*100</f>
        <v>89.906167054335967</v>
      </c>
      <c r="AH5" s="75">
        <f>X5-Q5</f>
        <v>2077.5000000000036</v>
      </c>
      <c r="AI5" s="75">
        <f>X5/Q5*100</f>
        <v>106.45545194378244</v>
      </c>
      <c r="AJ5" s="75">
        <f>Z5/$Z$48*100</f>
        <v>29.992740715148113</v>
      </c>
      <c r="AK5" s="75">
        <f t="shared" si="1"/>
        <v>30198.1</v>
      </c>
      <c r="AL5" s="75">
        <f t="shared" si="1"/>
        <v>32640.6</v>
      </c>
      <c r="AM5" s="75">
        <f>AL5-AK5</f>
        <v>2442.5</v>
      </c>
      <c r="AN5" s="75">
        <f>AL5/AK5*100</f>
        <v>108.08825720823496</v>
      </c>
      <c r="AO5" s="75">
        <f>AL5/$AL$48*100</f>
        <v>36.3578644157285</v>
      </c>
      <c r="AP5" s="75">
        <f t="shared" si="1"/>
        <v>31839.700000000004</v>
      </c>
      <c r="AQ5" s="75">
        <f t="shared" si="1"/>
        <v>33539.600000000006</v>
      </c>
      <c r="AR5" s="76">
        <f>AR6+AR7+AR9+AR10+AR8+AR11</f>
        <v>32413.200000000001</v>
      </c>
      <c r="AS5" s="76">
        <f>AS6+AS7+AS9+AS10+AS8+AS11</f>
        <v>33844.400000000001</v>
      </c>
    </row>
    <row r="6" spans="1:46" ht="35.25" customHeight="1">
      <c r="A6" s="78" t="s">
        <v>337</v>
      </c>
      <c r="B6" s="79" t="s">
        <v>332</v>
      </c>
      <c r="C6" s="79" t="s">
        <v>338</v>
      </c>
      <c r="D6" s="79" t="s">
        <v>339</v>
      </c>
      <c r="E6" s="80">
        <v>3822.9</v>
      </c>
      <c r="F6" s="81">
        <f>1296.842+299.744+1712.919+518.527</f>
        <v>3828.0320000000002</v>
      </c>
      <c r="G6" s="82">
        <v>5215</v>
      </c>
      <c r="H6" s="82">
        <v>5027</v>
      </c>
      <c r="I6" s="82">
        <v>5851.4</v>
      </c>
      <c r="J6" s="81">
        <v>5931.2</v>
      </c>
      <c r="K6" s="83">
        <v>7495.4</v>
      </c>
      <c r="L6" s="83">
        <v>6894.7</v>
      </c>
      <c r="M6" s="84">
        <v>6961.3</v>
      </c>
      <c r="N6" s="84">
        <v>7646.1</v>
      </c>
      <c r="O6" s="84">
        <v>8297.5</v>
      </c>
      <c r="P6" s="84">
        <v>9916.6</v>
      </c>
      <c r="Q6" s="84">
        <v>9128</v>
      </c>
      <c r="R6" s="84">
        <v>9128</v>
      </c>
      <c r="S6" s="84">
        <v>2872.2</v>
      </c>
      <c r="T6" s="84">
        <v>9231</v>
      </c>
      <c r="U6" s="84">
        <v>9313</v>
      </c>
      <c r="V6" s="84">
        <v>7561.8</v>
      </c>
      <c r="W6" s="84">
        <v>9313</v>
      </c>
      <c r="X6" s="84">
        <v>9313</v>
      </c>
      <c r="Y6" s="84">
        <v>9313</v>
      </c>
      <c r="Z6" s="84">
        <v>9073</v>
      </c>
      <c r="AA6" s="84">
        <f t="shared" ref="AA6:AA48" si="2">Y6-X6</f>
        <v>0</v>
      </c>
      <c r="AB6" s="84">
        <f t="shared" ref="AB6:AB48" si="3">Y6/X6*100</f>
        <v>100</v>
      </c>
      <c r="AC6" s="84">
        <f t="shared" ref="AC6:AC48" si="4">Z6-Y6</f>
        <v>-240</v>
      </c>
      <c r="AD6" s="84">
        <f t="shared" ref="AD6:AD48" si="5">Z6/Y6*100</f>
        <v>97.422957156662733</v>
      </c>
      <c r="AE6" s="84">
        <f t="shared" ref="AE6:AE48" si="6">Z6/Q6*100</f>
        <v>99.397458369851009</v>
      </c>
      <c r="AF6" s="84">
        <f t="shared" ref="AF6:AF48" si="7">Z6/X6*100</f>
        <v>97.422957156662733</v>
      </c>
      <c r="AG6" s="84">
        <f t="shared" ref="AG6:AG48" si="8">Z6/P6*100</f>
        <v>91.493052054131454</v>
      </c>
      <c r="AH6" s="84">
        <f t="shared" ref="AH6:AH48" si="9">X6-Q6</f>
        <v>185</v>
      </c>
      <c r="AI6" s="84">
        <f t="shared" ref="AI6:AI48" si="10">X6/Q6*100</f>
        <v>102.02673093777388</v>
      </c>
      <c r="AJ6" s="84">
        <f t="shared" ref="AJ6:AJ48" si="11">Z6/$Z$48*100</f>
        <v>8.564823336948816</v>
      </c>
      <c r="AK6" s="84">
        <v>7476.1</v>
      </c>
      <c r="AL6" s="84">
        <v>7676.1</v>
      </c>
      <c r="AM6" s="84">
        <f t="shared" ref="AM6:AM48" si="12">AL6-AK6</f>
        <v>200</v>
      </c>
      <c r="AN6" s="84">
        <f t="shared" ref="AN6:AN48" si="13">AL6/AK6*100</f>
        <v>102.6751916105991</v>
      </c>
      <c r="AO6" s="84">
        <f t="shared" ref="AO6:AO48" si="14">AL6/$AL$48*100</f>
        <v>8.5502902226544109</v>
      </c>
      <c r="AP6" s="84">
        <v>7476.1</v>
      </c>
      <c r="AQ6" s="84">
        <v>7476.1</v>
      </c>
      <c r="AR6" s="85">
        <v>9128</v>
      </c>
      <c r="AS6" s="85">
        <v>9128</v>
      </c>
    </row>
    <row r="7" spans="1:46" ht="28.5" customHeight="1">
      <c r="A7" s="78" t="s">
        <v>340</v>
      </c>
      <c r="B7" s="79" t="s">
        <v>332</v>
      </c>
      <c r="C7" s="79" t="s">
        <v>341</v>
      </c>
      <c r="D7" s="79" t="s">
        <v>342</v>
      </c>
      <c r="E7" s="80">
        <v>6805.7</v>
      </c>
      <c r="F7" s="81">
        <f>9045.923+2250.473+30.9+96.39+108.835+188.212+68.161+17.222+26.413+53.641+483.207+21.912+22.306+282.223+138.309</f>
        <v>12834.126999999999</v>
      </c>
      <c r="G7" s="82">
        <v>12623.9</v>
      </c>
      <c r="H7" s="82">
        <v>12051.4</v>
      </c>
      <c r="I7" s="82">
        <v>12253.7</v>
      </c>
      <c r="J7" s="81">
        <v>12292.3</v>
      </c>
      <c r="K7" s="83">
        <v>13525.4</v>
      </c>
      <c r="L7" s="83">
        <v>13759.9</v>
      </c>
      <c r="M7" s="84">
        <v>12956.4</v>
      </c>
      <c r="N7" s="84">
        <v>15903.6</v>
      </c>
      <c r="O7" s="84">
        <v>16082.1</v>
      </c>
      <c r="P7" s="84">
        <v>17781</v>
      </c>
      <c r="Q7" s="84">
        <v>18704.400000000001</v>
      </c>
      <c r="R7" s="84">
        <v>19478.2</v>
      </c>
      <c r="S7" s="84">
        <v>5106.3999999999996</v>
      </c>
      <c r="T7" s="84">
        <v>19233.8</v>
      </c>
      <c r="U7" s="84">
        <v>18667</v>
      </c>
      <c r="V7" s="84">
        <v>13484.6</v>
      </c>
      <c r="W7" s="84">
        <v>18314.2</v>
      </c>
      <c r="X7" s="84">
        <v>18866.400000000001</v>
      </c>
      <c r="Y7" s="84">
        <v>18866.5</v>
      </c>
      <c r="Z7" s="84">
        <v>17498.099999999999</v>
      </c>
      <c r="AA7" s="84">
        <f t="shared" si="2"/>
        <v>9.9999999998544808E-2</v>
      </c>
      <c r="AB7" s="84">
        <f t="shared" si="3"/>
        <v>100.00053004282745</v>
      </c>
      <c r="AC7" s="84">
        <f t="shared" si="4"/>
        <v>-1368.4000000000015</v>
      </c>
      <c r="AD7" s="84">
        <f t="shared" si="5"/>
        <v>92.746932393395696</v>
      </c>
      <c r="AE7" s="84">
        <f t="shared" si="6"/>
        <v>93.550715339706144</v>
      </c>
      <c r="AF7" s="84">
        <f t="shared" si="7"/>
        <v>92.747423991858525</v>
      </c>
      <c r="AG7" s="84">
        <f t="shared" si="8"/>
        <v>98.408975873122984</v>
      </c>
      <c r="AH7" s="84">
        <f t="shared" si="9"/>
        <v>162</v>
      </c>
      <c r="AI7" s="84">
        <f t="shared" si="10"/>
        <v>100.86610637069353</v>
      </c>
      <c r="AJ7" s="84">
        <f t="shared" si="11"/>
        <v>16.518035405297482</v>
      </c>
      <c r="AK7" s="84">
        <v>19670</v>
      </c>
      <c r="AL7" s="84">
        <v>20906.5</v>
      </c>
      <c r="AM7" s="84">
        <f t="shared" si="12"/>
        <v>1236.5</v>
      </c>
      <c r="AN7" s="84">
        <f t="shared" si="13"/>
        <v>106.28622267412302</v>
      </c>
      <c r="AO7" s="84">
        <f t="shared" si="14"/>
        <v>23.287430145506757</v>
      </c>
      <c r="AP7" s="84">
        <v>19685.8</v>
      </c>
      <c r="AQ7" s="84">
        <v>19685.8</v>
      </c>
      <c r="AR7" s="85">
        <v>18704.400000000001</v>
      </c>
      <c r="AS7" s="85">
        <v>18704.400000000001</v>
      </c>
    </row>
    <row r="8" spans="1:46" ht="57.75" customHeight="1">
      <c r="A8" s="78" t="s">
        <v>343</v>
      </c>
      <c r="B8" s="79" t="s">
        <v>332</v>
      </c>
      <c r="C8" s="79" t="s">
        <v>344</v>
      </c>
      <c r="D8" s="79"/>
      <c r="E8" s="80"/>
      <c r="F8" s="81"/>
      <c r="G8" s="82"/>
      <c r="H8" s="82"/>
      <c r="I8" s="82"/>
      <c r="J8" s="81"/>
      <c r="K8" s="83"/>
      <c r="L8" s="83"/>
      <c r="M8" s="84"/>
      <c r="N8" s="84"/>
      <c r="O8" s="84"/>
      <c r="P8" s="84">
        <v>56.2</v>
      </c>
      <c r="Q8" s="84">
        <v>56.2</v>
      </c>
      <c r="R8" s="84">
        <v>56.2</v>
      </c>
      <c r="S8" s="84"/>
      <c r="T8" s="84">
        <v>51.4</v>
      </c>
      <c r="U8" s="84">
        <v>51.4</v>
      </c>
      <c r="V8" s="84">
        <v>51.4</v>
      </c>
      <c r="W8" s="84">
        <v>51.4</v>
      </c>
      <c r="X8" s="84">
        <v>51.4</v>
      </c>
      <c r="Y8" s="84">
        <v>51.4</v>
      </c>
      <c r="Z8" s="84">
        <v>51.4</v>
      </c>
      <c r="AA8" s="84">
        <f t="shared" si="2"/>
        <v>0</v>
      </c>
      <c r="AB8" s="84">
        <f t="shared" si="3"/>
        <v>100</v>
      </c>
      <c r="AC8" s="84">
        <f t="shared" si="4"/>
        <v>0</v>
      </c>
      <c r="AD8" s="84">
        <f t="shared" si="5"/>
        <v>100</v>
      </c>
      <c r="AE8" s="84">
        <f t="shared" si="6"/>
        <v>91.459074733096074</v>
      </c>
      <c r="AF8" s="84">
        <f t="shared" si="7"/>
        <v>100</v>
      </c>
      <c r="AG8" s="84">
        <f t="shared" si="8"/>
        <v>91.459074733096074</v>
      </c>
      <c r="AH8" s="84">
        <f t="shared" si="9"/>
        <v>-4.8000000000000043</v>
      </c>
      <c r="AI8" s="84">
        <f t="shared" si="10"/>
        <v>91.459074733096074</v>
      </c>
      <c r="AJ8" s="84">
        <f t="shared" si="11"/>
        <v>4.8521097709596506E-2</v>
      </c>
      <c r="AK8" s="84"/>
      <c r="AL8" s="84">
        <v>0</v>
      </c>
      <c r="AM8" s="84">
        <f t="shared" si="12"/>
        <v>0</v>
      </c>
      <c r="AN8" s="84"/>
      <c r="AO8" s="84">
        <f t="shared" si="14"/>
        <v>0</v>
      </c>
      <c r="AP8" s="84"/>
      <c r="AQ8" s="84"/>
      <c r="AR8" s="85"/>
      <c r="AS8" s="85"/>
    </row>
    <row r="9" spans="1:46" ht="24" hidden="1" customHeight="1">
      <c r="A9" s="78" t="s">
        <v>345</v>
      </c>
      <c r="B9" s="79" t="s">
        <v>332</v>
      </c>
      <c r="C9" s="79" t="s">
        <v>346</v>
      </c>
      <c r="D9" s="79" t="s">
        <v>347</v>
      </c>
      <c r="E9" s="80">
        <v>0</v>
      </c>
      <c r="F9" s="82">
        <f>625.8+417.2</f>
        <v>1043</v>
      </c>
      <c r="G9" s="82">
        <v>0</v>
      </c>
      <c r="H9" s="82">
        <v>0</v>
      </c>
      <c r="I9" s="82"/>
      <c r="J9" s="81">
        <v>0</v>
      </c>
      <c r="K9" s="83">
        <v>1188.4000000000001</v>
      </c>
      <c r="L9" s="83">
        <v>0</v>
      </c>
      <c r="M9" s="84"/>
      <c r="N9" s="84"/>
      <c r="O9" s="84"/>
      <c r="P9" s="84">
        <v>2403.1999999999998</v>
      </c>
      <c r="Q9" s="84"/>
      <c r="R9" s="84"/>
      <c r="S9" s="84"/>
      <c r="T9" s="84">
        <v>0</v>
      </c>
      <c r="U9" s="84"/>
      <c r="V9" s="84"/>
      <c r="W9" s="84"/>
      <c r="X9" s="84"/>
      <c r="Y9" s="84"/>
      <c r="Z9" s="84"/>
      <c r="AA9" s="84">
        <f t="shared" si="2"/>
        <v>0</v>
      </c>
      <c r="AB9" s="84" t="e">
        <f t="shared" si="3"/>
        <v>#DIV/0!</v>
      </c>
      <c r="AC9" s="84">
        <f t="shared" si="4"/>
        <v>0</v>
      </c>
      <c r="AD9" s="84" t="e">
        <f t="shared" si="5"/>
        <v>#DIV/0!</v>
      </c>
      <c r="AE9" s="84" t="e">
        <f t="shared" si="6"/>
        <v>#DIV/0!</v>
      </c>
      <c r="AF9" s="84" t="e">
        <f t="shared" si="7"/>
        <v>#DIV/0!</v>
      </c>
      <c r="AG9" s="84">
        <f t="shared" si="8"/>
        <v>0</v>
      </c>
      <c r="AH9" s="84">
        <f t="shared" si="9"/>
        <v>0</v>
      </c>
      <c r="AI9" s="84" t="e">
        <f t="shared" si="10"/>
        <v>#DIV/0!</v>
      </c>
      <c r="AJ9" s="84">
        <f t="shared" si="11"/>
        <v>0</v>
      </c>
      <c r="AK9" s="84"/>
      <c r="AL9" s="84"/>
      <c r="AM9" s="84">
        <f t="shared" si="12"/>
        <v>0</v>
      </c>
      <c r="AN9" s="84" t="e">
        <f t="shared" si="13"/>
        <v>#DIV/0!</v>
      </c>
      <c r="AO9" s="84">
        <f t="shared" si="14"/>
        <v>0</v>
      </c>
      <c r="AP9" s="84"/>
      <c r="AQ9" s="84"/>
      <c r="AR9" s="85"/>
      <c r="AS9" s="85"/>
    </row>
    <row r="10" spans="1:46" ht="15.75" customHeight="1">
      <c r="A10" s="78" t="s">
        <v>348</v>
      </c>
      <c r="B10" s="79" t="s">
        <v>332</v>
      </c>
      <c r="C10" s="79" t="s">
        <v>349</v>
      </c>
      <c r="D10" s="79" t="s">
        <v>347</v>
      </c>
      <c r="E10" s="80">
        <v>0</v>
      </c>
      <c r="F10" s="82">
        <v>0</v>
      </c>
      <c r="G10" s="82">
        <v>0</v>
      </c>
      <c r="H10" s="82">
        <v>0</v>
      </c>
      <c r="I10" s="82">
        <v>0</v>
      </c>
      <c r="J10" s="81">
        <v>0</v>
      </c>
      <c r="K10" s="83">
        <v>0</v>
      </c>
      <c r="L10" s="83">
        <v>0</v>
      </c>
      <c r="M10" s="84">
        <v>0</v>
      </c>
      <c r="N10" s="84">
        <v>0</v>
      </c>
      <c r="O10" s="84">
        <v>0</v>
      </c>
      <c r="P10" s="84">
        <v>0</v>
      </c>
      <c r="Q10" s="84">
        <v>138</v>
      </c>
      <c r="R10" s="84">
        <v>138</v>
      </c>
      <c r="S10" s="84"/>
      <c r="T10" s="84">
        <v>138</v>
      </c>
      <c r="U10" s="84">
        <v>138</v>
      </c>
      <c r="V10" s="84"/>
      <c r="W10" s="84">
        <v>0</v>
      </c>
      <c r="X10" s="84">
        <v>138</v>
      </c>
      <c r="Y10" s="84">
        <v>138</v>
      </c>
      <c r="Z10" s="84"/>
      <c r="AA10" s="84">
        <f t="shared" si="2"/>
        <v>0</v>
      </c>
      <c r="AB10" s="84">
        <f t="shared" si="3"/>
        <v>100</v>
      </c>
      <c r="AC10" s="84">
        <f t="shared" si="4"/>
        <v>-138</v>
      </c>
      <c r="AD10" s="84">
        <f t="shared" si="5"/>
        <v>0</v>
      </c>
      <c r="AE10" s="84">
        <f t="shared" si="6"/>
        <v>0</v>
      </c>
      <c r="AF10" s="84">
        <f t="shared" si="7"/>
        <v>0</v>
      </c>
      <c r="AG10" s="84"/>
      <c r="AH10" s="84">
        <f t="shared" si="9"/>
        <v>0</v>
      </c>
      <c r="AI10" s="84">
        <f t="shared" si="10"/>
        <v>100</v>
      </c>
      <c r="AJ10" s="84">
        <f t="shared" si="11"/>
        <v>0</v>
      </c>
      <c r="AK10" s="84">
        <v>138.4</v>
      </c>
      <c r="AL10" s="84">
        <v>138.4</v>
      </c>
      <c r="AM10" s="84">
        <f t="shared" si="12"/>
        <v>0</v>
      </c>
      <c r="AN10" s="84">
        <f t="shared" si="13"/>
        <v>100</v>
      </c>
      <c r="AO10" s="84">
        <f t="shared" si="14"/>
        <v>0.15416164026203025</v>
      </c>
      <c r="AP10" s="84">
        <v>138.4</v>
      </c>
      <c r="AQ10" s="84">
        <v>138.4</v>
      </c>
      <c r="AR10" s="85">
        <v>138</v>
      </c>
      <c r="AS10" s="85">
        <v>138</v>
      </c>
    </row>
    <row r="11" spans="1:46" ht="29.25" customHeight="1">
      <c r="A11" s="78" t="s">
        <v>350</v>
      </c>
      <c r="B11" s="79" t="s">
        <v>332</v>
      </c>
      <c r="C11" s="79" t="s">
        <v>351</v>
      </c>
      <c r="D11" s="79" t="s">
        <v>352</v>
      </c>
      <c r="E11" s="80">
        <v>8852.9599999999991</v>
      </c>
      <c r="F11" s="81">
        <f>99.986+421.716+491.985+117.179+108.7+53</f>
        <v>1292.566</v>
      </c>
      <c r="G11" s="82">
        <v>1603.5</v>
      </c>
      <c r="H11" s="82">
        <v>3638.7</v>
      </c>
      <c r="I11" s="82">
        <v>2612.6</v>
      </c>
      <c r="J11" s="81">
        <v>2078.1999999999998</v>
      </c>
      <c r="K11" s="83">
        <v>5778.3</v>
      </c>
      <c r="L11" s="83">
        <v>4555.7</v>
      </c>
      <c r="M11" s="84">
        <v>10716.5</v>
      </c>
      <c r="N11" s="84">
        <v>6826.2</v>
      </c>
      <c r="O11" s="84">
        <v>7058</v>
      </c>
      <c r="P11" s="84">
        <v>5182.3999999999996</v>
      </c>
      <c r="Q11" s="84">
        <v>4155.5</v>
      </c>
      <c r="R11" s="84">
        <v>4835.5</v>
      </c>
      <c r="S11" s="84">
        <v>1308.3</v>
      </c>
      <c r="T11" s="84">
        <v>4985.5</v>
      </c>
      <c r="U11" s="84">
        <v>5734.3</v>
      </c>
      <c r="V11" s="84">
        <v>3566.8</v>
      </c>
      <c r="W11" s="84">
        <v>5734.3</v>
      </c>
      <c r="X11" s="84">
        <v>5890.8</v>
      </c>
      <c r="Y11" s="84">
        <v>5890.8</v>
      </c>
      <c r="Z11" s="84">
        <v>5149.8</v>
      </c>
      <c r="AA11" s="84">
        <f t="shared" si="2"/>
        <v>0</v>
      </c>
      <c r="AB11" s="84">
        <f t="shared" si="3"/>
        <v>100</v>
      </c>
      <c r="AC11" s="84">
        <f t="shared" si="4"/>
        <v>-741</v>
      </c>
      <c r="AD11" s="84">
        <f t="shared" si="5"/>
        <v>87.421063353025048</v>
      </c>
      <c r="AE11" s="84">
        <f t="shared" si="6"/>
        <v>123.92732523162076</v>
      </c>
      <c r="AF11" s="84">
        <f t="shared" si="7"/>
        <v>87.421063353025048</v>
      </c>
      <c r="AG11" s="84">
        <f t="shared" si="8"/>
        <v>99.370947823402304</v>
      </c>
      <c r="AH11" s="84">
        <f t="shared" si="9"/>
        <v>1735.3000000000002</v>
      </c>
      <c r="AI11" s="84">
        <f t="shared" si="10"/>
        <v>141.75911442666347</v>
      </c>
      <c r="AJ11" s="84">
        <f t="shared" si="11"/>
        <v>4.8613608751922204</v>
      </c>
      <c r="AK11" s="84">
        <v>2913.6</v>
      </c>
      <c r="AL11" s="84">
        <v>3919.6</v>
      </c>
      <c r="AM11" s="84">
        <f t="shared" si="12"/>
        <v>1006</v>
      </c>
      <c r="AN11" s="84">
        <f t="shared" si="13"/>
        <v>134.52773201537619</v>
      </c>
      <c r="AO11" s="84">
        <f t="shared" si="14"/>
        <v>4.3659824073053013</v>
      </c>
      <c r="AP11" s="84">
        <v>4539.3999999999996</v>
      </c>
      <c r="AQ11" s="84">
        <v>6239.3</v>
      </c>
      <c r="AR11" s="85">
        <v>4442.8</v>
      </c>
      <c r="AS11" s="85">
        <v>5874</v>
      </c>
    </row>
    <row r="12" spans="1:46" s="77" customFormat="1" ht="15.75" customHeight="1">
      <c r="A12" s="73" t="s">
        <v>353</v>
      </c>
      <c r="B12" s="74" t="s">
        <v>338</v>
      </c>
      <c r="C12" s="74"/>
      <c r="D12" s="86" t="str">
        <f t="shared" ref="D12:O12" si="15">D13</f>
        <v>356</v>
      </c>
      <c r="E12" s="86">
        <f t="shared" si="15"/>
        <v>357</v>
      </c>
      <c r="F12" s="86">
        <f t="shared" si="15"/>
        <v>400.84399999999999</v>
      </c>
      <c r="G12" s="86">
        <f t="shared" si="15"/>
        <v>780</v>
      </c>
      <c r="H12" s="86">
        <f t="shared" si="15"/>
        <v>610.4</v>
      </c>
      <c r="I12" s="86">
        <f t="shared" si="15"/>
        <v>552</v>
      </c>
      <c r="J12" s="75">
        <f t="shared" si="15"/>
        <v>378.2</v>
      </c>
      <c r="K12" s="75">
        <f t="shared" si="15"/>
        <v>393.8</v>
      </c>
      <c r="L12" s="75">
        <f t="shared" si="15"/>
        <v>435.5</v>
      </c>
      <c r="M12" s="75">
        <f t="shared" si="15"/>
        <v>481</v>
      </c>
      <c r="N12" s="75">
        <f t="shared" si="15"/>
        <v>524.1</v>
      </c>
      <c r="O12" s="75">
        <f t="shared" si="15"/>
        <v>578.5</v>
      </c>
      <c r="P12" s="75">
        <f>P13</f>
        <v>617.9</v>
      </c>
      <c r="Q12" s="75">
        <f>Q13</f>
        <v>700.5</v>
      </c>
      <c r="R12" s="75">
        <f t="shared" ref="R12:AQ12" si="16">R13</f>
        <v>700.5</v>
      </c>
      <c r="S12" s="75">
        <f t="shared" si="16"/>
        <v>123.2</v>
      </c>
      <c r="T12" s="75">
        <f t="shared" si="16"/>
        <v>700.5</v>
      </c>
      <c r="U12" s="75">
        <f t="shared" si="16"/>
        <v>700.5</v>
      </c>
      <c r="V12" s="75">
        <f t="shared" si="16"/>
        <v>519.4</v>
      </c>
      <c r="W12" s="75">
        <f t="shared" si="16"/>
        <v>700.5</v>
      </c>
      <c r="X12" s="75">
        <f t="shared" si="16"/>
        <v>700.5</v>
      </c>
      <c r="Y12" s="75">
        <f t="shared" si="16"/>
        <v>700.5</v>
      </c>
      <c r="Z12" s="75">
        <f t="shared" si="16"/>
        <v>700.5</v>
      </c>
      <c r="AA12" s="75">
        <f t="shared" si="2"/>
        <v>0</v>
      </c>
      <c r="AB12" s="75">
        <f t="shared" si="3"/>
        <v>100</v>
      </c>
      <c r="AC12" s="75">
        <f t="shared" si="4"/>
        <v>0</v>
      </c>
      <c r="AD12" s="75">
        <f t="shared" si="5"/>
        <v>100</v>
      </c>
      <c r="AE12" s="75">
        <f t="shared" si="6"/>
        <v>100</v>
      </c>
      <c r="AF12" s="75">
        <f t="shared" si="7"/>
        <v>100</v>
      </c>
      <c r="AG12" s="75">
        <f t="shared" si="8"/>
        <v>113.36785887684091</v>
      </c>
      <c r="AH12" s="75">
        <f t="shared" si="9"/>
        <v>0</v>
      </c>
      <c r="AI12" s="75">
        <f t="shared" si="10"/>
        <v>100</v>
      </c>
      <c r="AJ12" s="75">
        <f t="shared" si="11"/>
        <v>0.66126515458311974</v>
      </c>
      <c r="AK12" s="75">
        <f t="shared" si="16"/>
        <v>856.6</v>
      </c>
      <c r="AL12" s="75">
        <f t="shared" si="16"/>
        <v>856.6</v>
      </c>
      <c r="AM12" s="75">
        <f t="shared" si="12"/>
        <v>0</v>
      </c>
      <c r="AN12" s="75">
        <f t="shared" si="13"/>
        <v>100</v>
      </c>
      <c r="AO12" s="75">
        <f t="shared" si="14"/>
        <v>0.95415362029230566</v>
      </c>
      <c r="AP12" s="75">
        <f t="shared" si="16"/>
        <v>938.6</v>
      </c>
      <c r="AQ12" s="75">
        <f t="shared" si="16"/>
        <v>972.9</v>
      </c>
      <c r="AR12" s="76">
        <f>AR13</f>
        <v>773.4</v>
      </c>
      <c r="AS12" s="76">
        <f>AS13</f>
        <v>847.6</v>
      </c>
    </row>
    <row r="13" spans="1:46" ht="26.25" customHeight="1">
      <c r="A13" s="78" t="s">
        <v>354</v>
      </c>
      <c r="B13" s="79" t="s">
        <v>338</v>
      </c>
      <c r="C13" s="79" t="s">
        <v>333</v>
      </c>
      <c r="D13" s="79" t="s">
        <v>355</v>
      </c>
      <c r="E13" s="80">
        <v>357</v>
      </c>
      <c r="F13" s="81">
        <f>335.844+65</f>
        <v>400.84399999999999</v>
      </c>
      <c r="G13" s="82">
        <v>780</v>
      </c>
      <c r="H13" s="82">
        <v>610.4</v>
      </c>
      <c r="I13" s="82">
        <v>552</v>
      </c>
      <c r="J13" s="81">
        <v>378.2</v>
      </c>
      <c r="K13" s="83">
        <v>393.8</v>
      </c>
      <c r="L13" s="83">
        <v>435.5</v>
      </c>
      <c r="M13" s="84">
        <v>481</v>
      </c>
      <c r="N13" s="84">
        <v>524.1</v>
      </c>
      <c r="O13" s="84">
        <v>578.5</v>
      </c>
      <c r="P13" s="84">
        <v>617.9</v>
      </c>
      <c r="Q13" s="84">
        <v>700.5</v>
      </c>
      <c r="R13" s="84">
        <v>700.5</v>
      </c>
      <c r="S13" s="84">
        <v>123.2</v>
      </c>
      <c r="T13" s="84">
        <v>700.5</v>
      </c>
      <c r="U13" s="84">
        <v>700.5</v>
      </c>
      <c r="V13" s="84">
        <v>519.4</v>
      </c>
      <c r="W13" s="84">
        <v>700.5</v>
      </c>
      <c r="X13" s="84">
        <v>700.5</v>
      </c>
      <c r="Y13" s="84">
        <v>700.5</v>
      </c>
      <c r="Z13" s="84">
        <v>700.5</v>
      </c>
      <c r="AA13" s="84">
        <f t="shared" si="2"/>
        <v>0</v>
      </c>
      <c r="AB13" s="84">
        <f t="shared" si="3"/>
        <v>100</v>
      </c>
      <c r="AC13" s="84">
        <f t="shared" si="4"/>
        <v>0</v>
      </c>
      <c r="AD13" s="84">
        <f t="shared" si="5"/>
        <v>100</v>
      </c>
      <c r="AE13" s="84">
        <f t="shared" si="6"/>
        <v>100</v>
      </c>
      <c r="AF13" s="84">
        <f t="shared" si="7"/>
        <v>100</v>
      </c>
      <c r="AG13" s="84">
        <f t="shared" si="8"/>
        <v>113.36785887684091</v>
      </c>
      <c r="AH13" s="84">
        <f t="shared" si="9"/>
        <v>0</v>
      </c>
      <c r="AI13" s="84">
        <f t="shared" si="10"/>
        <v>100</v>
      </c>
      <c r="AJ13" s="84">
        <f t="shared" si="11"/>
        <v>0.66126515458311974</v>
      </c>
      <c r="AK13" s="84">
        <v>856.6</v>
      </c>
      <c r="AL13" s="84">
        <v>856.6</v>
      </c>
      <c r="AM13" s="84">
        <f t="shared" si="12"/>
        <v>0</v>
      </c>
      <c r="AN13" s="84">
        <f t="shared" si="13"/>
        <v>100</v>
      </c>
      <c r="AO13" s="84">
        <f t="shared" si="14"/>
        <v>0.95415362029230566</v>
      </c>
      <c r="AP13" s="84">
        <v>938.6</v>
      </c>
      <c r="AQ13" s="84">
        <v>972.9</v>
      </c>
      <c r="AR13" s="85">
        <v>773.4</v>
      </c>
      <c r="AS13" s="85">
        <v>847.6</v>
      </c>
    </row>
    <row r="14" spans="1:46" s="77" customFormat="1" ht="36" customHeight="1">
      <c r="A14" s="73" t="s">
        <v>356</v>
      </c>
      <c r="B14" s="74" t="s">
        <v>333</v>
      </c>
      <c r="C14" s="74"/>
      <c r="D14" s="86">
        <f t="shared" ref="D14:I14" si="17">D16+D15</f>
        <v>194.18600000000001</v>
      </c>
      <c r="E14" s="86">
        <f t="shared" si="17"/>
        <v>139.65</v>
      </c>
      <c r="F14" s="75">
        <f t="shared" si="17"/>
        <v>349.44200000000001</v>
      </c>
      <c r="G14" s="75">
        <f t="shared" si="17"/>
        <v>351</v>
      </c>
      <c r="H14" s="75">
        <f t="shared" si="17"/>
        <v>481.8</v>
      </c>
      <c r="I14" s="75">
        <f t="shared" si="17"/>
        <v>626</v>
      </c>
      <c r="J14" s="75">
        <f>J16+J15+J18</f>
        <v>723.8</v>
      </c>
      <c r="K14" s="75">
        <f>K16+K15+K18</f>
        <v>303.3</v>
      </c>
      <c r="L14" s="75">
        <f>L16+L15+L18</f>
        <v>307.70000000000005</v>
      </c>
      <c r="M14" s="75">
        <f>M16+M15+M18</f>
        <v>2318.7000000000003</v>
      </c>
      <c r="N14" s="75">
        <f>N16+N15+N18+N17</f>
        <v>1479.8</v>
      </c>
      <c r="O14" s="75">
        <f>O16+O15+O18+O17</f>
        <v>800.3</v>
      </c>
      <c r="P14" s="75">
        <f>P15+P17+P18</f>
        <v>361</v>
      </c>
      <c r="Q14" s="75">
        <f>Q15+Q17+Q18</f>
        <v>330.79999999999995</v>
      </c>
      <c r="R14" s="75">
        <f t="shared" ref="R14:AS14" si="18">R15+R17+R18</f>
        <v>544</v>
      </c>
      <c r="S14" s="75">
        <f t="shared" si="18"/>
        <v>66.7</v>
      </c>
      <c r="T14" s="75">
        <f t="shared" si="18"/>
        <v>1102.2</v>
      </c>
      <c r="U14" s="75">
        <f t="shared" si="18"/>
        <v>1174.3</v>
      </c>
      <c r="V14" s="75">
        <f t="shared" si="18"/>
        <v>1136.5999999999999</v>
      </c>
      <c r="W14" s="75">
        <f t="shared" si="18"/>
        <v>1244.3</v>
      </c>
      <c r="X14" s="75">
        <f t="shared" si="18"/>
        <v>1274.3</v>
      </c>
      <c r="Y14" s="75">
        <f t="shared" si="18"/>
        <v>1274.3</v>
      </c>
      <c r="Z14" s="75">
        <f t="shared" si="18"/>
        <v>1274.3</v>
      </c>
      <c r="AA14" s="75">
        <f t="shared" si="2"/>
        <v>0</v>
      </c>
      <c r="AB14" s="75">
        <f t="shared" si="3"/>
        <v>100</v>
      </c>
      <c r="AC14" s="75">
        <f t="shared" si="4"/>
        <v>0</v>
      </c>
      <c r="AD14" s="75">
        <f t="shared" si="5"/>
        <v>100</v>
      </c>
      <c r="AE14" s="75">
        <f t="shared" si="6"/>
        <v>385.21765417170502</v>
      </c>
      <c r="AF14" s="75">
        <f t="shared" si="7"/>
        <v>100</v>
      </c>
      <c r="AG14" s="75">
        <f t="shared" si="8"/>
        <v>352.9916897506925</v>
      </c>
      <c r="AH14" s="75">
        <f t="shared" si="9"/>
        <v>943.5</v>
      </c>
      <c r="AI14" s="75">
        <f t="shared" si="10"/>
        <v>385.21765417170502</v>
      </c>
      <c r="AJ14" s="75">
        <f t="shared" si="11"/>
        <v>1.202926747302312</v>
      </c>
      <c r="AK14" s="75">
        <f t="shared" si="18"/>
        <v>642.79999999999995</v>
      </c>
      <c r="AL14" s="75">
        <f t="shared" si="18"/>
        <v>642.79999999999995</v>
      </c>
      <c r="AM14" s="75">
        <f t="shared" si="12"/>
        <v>0</v>
      </c>
      <c r="AN14" s="75">
        <f t="shared" si="13"/>
        <v>100</v>
      </c>
      <c r="AO14" s="75">
        <f t="shared" si="14"/>
        <v>0.71600507485862019</v>
      </c>
      <c r="AP14" s="75">
        <f>AP15+AP17+AP18</f>
        <v>647.09999999999991</v>
      </c>
      <c r="AQ14" s="75">
        <f t="shared" si="18"/>
        <v>646.9</v>
      </c>
      <c r="AR14" s="76">
        <f t="shared" si="18"/>
        <v>331.09999999999997</v>
      </c>
      <c r="AS14" s="76">
        <f t="shared" si="18"/>
        <v>330.79999999999995</v>
      </c>
    </row>
    <row r="15" spans="1:46" ht="15.75" customHeight="1">
      <c r="A15" s="87" t="s">
        <v>357</v>
      </c>
      <c r="B15" s="79" t="s">
        <v>333</v>
      </c>
      <c r="C15" s="79" t="s">
        <v>341</v>
      </c>
      <c r="D15" s="79"/>
      <c r="E15" s="80">
        <v>26</v>
      </c>
      <c r="F15" s="81">
        <f>42.742+14.057+7.109+13+8.09+1.5+15.597+7.8+1.603</f>
        <v>111.49799999999999</v>
      </c>
      <c r="G15" s="82">
        <v>99</v>
      </c>
      <c r="H15" s="82">
        <v>88</v>
      </c>
      <c r="I15" s="82">
        <v>101</v>
      </c>
      <c r="J15" s="81">
        <v>97</v>
      </c>
      <c r="K15" s="83">
        <v>100</v>
      </c>
      <c r="L15" s="83">
        <v>113.1</v>
      </c>
      <c r="M15" s="84">
        <v>109.9</v>
      </c>
      <c r="N15" s="84">
        <v>100.6</v>
      </c>
      <c r="O15" s="84">
        <v>103.9</v>
      </c>
      <c r="P15" s="84">
        <v>131.1</v>
      </c>
      <c r="Q15" s="84">
        <v>143.6</v>
      </c>
      <c r="R15" s="84">
        <v>143.6</v>
      </c>
      <c r="S15" s="84">
        <v>23.3</v>
      </c>
      <c r="T15" s="84">
        <v>143.6</v>
      </c>
      <c r="U15" s="84">
        <v>143.6</v>
      </c>
      <c r="V15" s="84">
        <v>88.6</v>
      </c>
      <c r="W15" s="84">
        <v>143.6</v>
      </c>
      <c r="X15" s="84">
        <v>143.6</v>
      </c>
      <c r="Y15" s="84">
        <v>143.6</v>
      </c>
      <c r="Z15" s="84">
        <v>143.6</v>
      </c>
      <c r="AA15" s="84">
        <f t="shared" si="2"/>
        <v>0</v>
      </c>
      <c r="AB15" s="84">
        <f t="shared" si="3"/>
        <v>100</v>
      </c>
      <c r="AC15" s="84">
        <f t="shared" si="4"/>
        <v>0</v>
      </c>
      <c r="AD15" s="84">
        <f t="shared" si="5"/>
        <v>100</v>
      </c>
      <c r="AE15" s="84">
        <f t="shared" si="6"/>
        <v>100</v>
      </c>
      <c r="AF15" s="84">
        <f t="shared" si="7"/>
        <v>100</v>
      </c>
      <c r="AG15" s="84">
        <f t="shared" si="8"/>
        <v>109.534706331045</v>
      </c>
      <c r="AH15" s="84">
        <f t="shared" si="9"/>
        <v>0</v>
      </c>
      <c r="AI15" s="84">
        <f t="shared" si="10"/>
        <v>100</v>
      </c>
      <c r="AJ15" s="84">
        <f t="shared" si="11"/>
        <v>0.13555699671397001</v>
      </c>
      <c r="AK15" s="84">
        <v>138.6</v>
      </c>
      <c r="AL15" s="84">
        <v>138.6</v>
      </c>
      <c r="AM15" s="84">
        <f t="shared" si="12"/>
        <v>0</v>
      </c>
      <c r="AN15" s="84">
        <f t="shared" si="13"/>
        <v>100</v>
      </c>
      <c r="AO15" s="84">
        <f t="shared" si="14"/>
        <v>0.15438441719882509</v>
      </c>
      <c r="AP15" s="84">
        <v>142.69999999999999</v>
      </c>
      <c r="AQ15" s="84">
        <v>142.69999999999999</v>
      </c>
      <c r="AR15" s="85">
        <v>143.6</v>
      </c>
      <c r="AS15" s="85">
        <v>143.6</v>
      </c>
    </row>
    <row r="16" spans="1:46" ht="15.75" hidden="1" customHeight="1">
      <c r="A16" s="88" t="s">
        <v>358</v>
      </c>
      <c r="B16" s="79" t="s">
        <v>333</v>
      </c>
      <c r="C16" s="79" t="s">
        <v>359</v>
      </c>
      <c r="D16" s="79" t="s">
        <v>360</v>
      </c>
      <c r="E16" s="80">
        <v>113.65</v>
      </c>
      <c r="F16" s="81">
        <f>73.727+38.52+12.96+11.465+24.982+61.06+15.23</f>
        <v>237.94400000000002</v>
      </c>
      <c r="G16" s="82">
        <v>252</v>
      </c>
      <c r="H16" s="82">
        <v>393.8</v>
      </c>
      <c r="I16" s="82">
        <v>525</v>
      </c>
      <c r="J16" s="81">
        <v>515.4</v>
      </c>
      <c r="K16" s="83">
        <v>127.5</v>
      </c>
      <c r="L16" s="83">
        <v>105.7</v>
      </c>
      <c r="M16" s="84">
        <v>2124.5</v>
      </c>
      <c r="N16" s="84">
        <v>35</v>
      </c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>
        <f t="shared" si="2"/>
        <v>0</v>
      </c>
      <c r="AB16" s="84" t="e">
        <f t="shared" si="3"/>
        <v>#DIV/0!</v>
      </c>
      <c r="AC16" s="84">
        <f t="shared" si="4"/>
        <v>0</v>
      </c>
      <c r="AD16" s="84" t="e">
        <f t="shared" si="5"/>
        <v>#DIV/0!</v>
      </c>
      <c r="AE16" s="84" t="e">
        <f t="shared" si="6"/>
        <v>#DIV/0!</v>
      </c>
      <c r="AF16" s="84" t="e">
        <f t="shared" si="7"/>
        <v>#DIV/0!</v>
      </c>
      <c r="AG16" s="84" t="e">
        <f t="shared" si="8"/>
        <v>#DIV/0!</v>
      </c>
      <c r="AH16" s="84">
        <f t="shared" si="9"/>
        <v>0</v>
      </c>
      <c r="AI16" s="84" t="e">
        <f t="shared" si="10"/>
        <v>#DIV/0!</v>
      </c>
      <c r="AJ16" s="84">
        <f t="shared" si="11"/>
        <v>0</v>
      </c>
      <c r="AK16" s="84"/>
      <c r="AL16" s="84"/>
      <c r="AM16" s="84">
        <f t="shared" si="12"/>
        <v>0</v>
      </c>
      <c r="AN16" s="84" t="e">
        <f t="shared" si="13"/>
        <v>#DIV/0!</v>
      </c>
      <c r="AO16" s="84">
        <f t="shared" si="14"/>
        <v>0</v>
      </c>
      <c r="AP16" s="84"/>
      <c r="AQ16" s="84"/>
      <c r="AR16" s="85"/>
      <c r="AS16" s="85"/>
    </row>
    <row r="17" spans="1:45" ht="52.5" customHeight="1">
      <c r="A17" s="88" t="s">
        <v>361</v>
      </c>
      <c r="B17" s="79" t="s">
        <v>333</v>
      </c>
      <c r="C17" s="79" t="s">
        <v>334</v>
      </c>
      <c r="D17" s="79"/>
      <c r="E17" s="80"/>
      <c r="F17" s="81"/>
      <c r="G17" s="82"/>
      <c r="H17" s="82"/>
      <c r="I17" s="82"/>
      <c r="J17" s="81"/>
      <c r="K17" s="83"/>
      <c r="L17" s="83"/>
      <c r="M17" s="84"/>
      <c r="N17" s="84">
        <v>1258.5</v>
      </c>
      <c r="O17" s="84">
        <v>613</v>
      </c>
      <c r="P17" s="84">
        <v>185.5</v>
      </c>
      <c r="Q17" s="84">
        <v>134.19999999999999</v>
      </c>
      <c r="R17" s="84">
        <v>347.4</v>
      </c>
      <c r="S17" s="84">
        <v>43.4</v>
      </c>
      <c r="T17" s="84">
        <v>905.6</v>
      </c>
      <c r="U17" s="84">
        <v>977.7</v>
      </c>
      <c r="V17" s="84">
        <v>1020</v>
      </c>
      <c r="W17" s="84">
        <v>1047.7</v>
      </c>
      <c r="X17" s="84">
        <v>1077.7</v>
      </c>
      <c r="Y17" s="84">
        <v>1077.7</v>
      </c>
      <c r="Z17" s="84">
        <v>1077.7</v>
      </c>
      <c r="AA17" s="84">
        <f t="shared" si="2"/>
        <v>0</v>
      </c>
      <c r="AB17" s="84">
        <f t="shared" si="3"/>
        <v>100</v>
      </c>
      <c r="AC17" s="84">
        <f t="shared" si="4"/>
        <v>0</v>
      </c>
      <c r="AD17" s="84">
        <f t="shared" si="5"/>
        <v>100</v>
      </c>
      <c r="AE17" s="84">
        <f t="shared" si="6"/>
        <v>803.05514157973198</v>
      </c>
      <c r="AF17" s="84">
        <f t="shared" si="7"/>
        <v>100</v>
      </c>
      <c r="AG17" s="84">
        <f t="shared" si="8"/>
        <v>580.97035040431274</v>
      </c>
      <c r="AH17" s="84">
        <f t="shared" si="9"/>
        <v>943.5</v>
      </c>
      <c r="AI17" s="84">
        <f t="shared" si="10"/>
        <v>803.05514157973198</v>
      </c>
      <c r="AJ17" s="84">
        <f t="shared" si="11"/>
        <v>1.0173382685142442</v>
      </c>
      <c r="AK17" s="84">
        <v>82.5</v>
      </c>
      <c r="AL17" s="84">
        <v>82.5</v>
      </c>
      <c r="AM17" s="84">
        <f t="shared" si="12"/>
        <v>0</v>
      </c>
      <c r="AN17" s="84">
        <f t="shared" si="13"/>
        <v>100</v>
      </c>
      <c r="AO17" s="84">
        <f t="shared" si="14"/>
        <v>9.1895486427872083E-2</v>
      </c>
      <c r="AP17" s="84">
        <v>82.5</v>
      </c>
      <c r="AQ17" s="84">
        <v>82.5</v>
      </c>
      <c r="AR17" s="85">
        <v>134.19999999999999</v>
      </c>
      <c r="AS17" s="85">
        <v>134.19999999999999</v>
      </c>
    </row>
    <row r="18" spans="1:45" ht="42" customHeight="1">
      <c r="A18" s="88" t="s">
        <v>362</v>
      </c>
      <c r="B18" s="79" t="s">
        <v>333</v>
      </c>
      <c r="C18" s="79" t="s">
        <v>363</v>
      </c>
      <c r="D18" s="79"/>
      <c r="E18" s="80"/>
      <c r="F18" s="81"/>
      <c r="G18" s="82"/>
      <c r="H18" s="82"/>
      <c r="I18" s="82"/>
      <c r="J18" s="81">
        <v>111.4</v>
      </c>
      <c r="K18" s="83">
        <v>75.8</v>
      </c>
      <c r="L18" s="83">
        <v>88.9</v>
      </c>
      <c r="M18" s="84">
        <v>84.3</v>
      </c>
      <c r="N18" s="84">
        <v>85.7</v>
      </c>
      <c r="O18" s="84">
        <v>83.4</v>
      </c>
      <c r="P18" s="84">
        <v>44.4</v>
      </c>
      <c r="Q18" s="84">
        <v>53</v>
      </c>
      <c r="R18" s="84">
        <v>53</v>
      </c>
      <c r="S18" s="84"/>
      <c r="T18" s="84">
        <v>53</v>
      </c>
      <c r="U18" s="84">
        <v>53</v>
      </c>
      <c r="V18" s="84">
        <v>28</v>
      </c>
      <c r="W18" s="84">
        <v>53</v>
      </c>
      <c r="X18" s="84">
        <v>53</v>
      </c>
      <c r="Y18" s="84">
        <v>53</v>
      </c>
      <c r="Z18" s="84">
        <v>53</v>
      </c>
      <c r="AA18" s="84">
        <f t="shared" si="2"/>
        <v>0</v>
      </c>
      <c r="AB18" s="84">
        <f t="shared" si="3"/>
        <v>100</v>
      </c>
      <c r="AC18" s="84">
        <f t="shared" si="4"/>
        <v>0</v>
      </c>
      <c r="AD18" s="84">
        <f t="shared" si="5"/>
        <v>100</v>
      </c>
      <c r="AE18" s="84">
        <f t="shared" si="6"/>
        <v>100</v>
      </c>
      <c r="AF18" s="84">
        <f t="shared" si="7"/>
        <v>100</v>
      </c>
      <c r="AG18" s="84">
        <f t="shared" si="8"/>
        <v>119.36936936936937</v>
      </c>
      <c r="AH18" s="84">
        <f t="shared" si="9"/>
        <v>0</v>
      </c>
      <c r="AI18" s="84">
        <f t="shared" si="10"/>
        <v>100</v>
      </c>
      <c r="AJ18" s="84">
        <f t="shared" si="11"/>
        <v>5.003148207409757E-2</v>
      </c>
      <c r="AK18" s="84">
        <v>421.7</v>
      </c>
      <c r="AL18" s="84">
        <v>421.7</v>
      </c>
      <c r="AM18" s="84">
        <f t="shared" si="12"/>
        <v>0</v>
      </c>
      <c r="AN18" s="84">
        <f t="shared" si="13"/>
        <v>100</v>
      </c>
      <c r="AO18" s="84">
        <f t="shared" si="14"/>
        <v>0.46972517123192309</v>
      </c>
      <c r="AP18" s="84">
        <v>421.9</v>
      </c>
      <c r="AQ18" s="84">
        <v>421.7</v>
      </c>
      <c r="AR18" s="85">
        <v>53.3</v>
      </c>
      <c r="AS18" s="85">
        <v>53</v>
      </c>
    </row>
    <row r="19" spans="1:45" s="77" customFormat="1" ht="18.75" customHeight="1">
      <c r="A19" s="73" t="s">
        <v>364</v>
      </c>
      <c r="B19" s="74" t="s">
        <v>341</v>
      </c>
      <c r="C19" s="74"/>
      <c r="D19" s="86">
        <f t="shared" ref="D19:I19" si="19">D22+D25+D24+D20+D23</f>
        <v>1378.3679999999999</v>
      </c>
      <c r="E19" s="86">
        <f t="shared" si="19"/>
        <v>12044.8</v>
      </c>
      <c r="F19" s="86">
        <f t="shared" si="19"/>
        <v>7811.6809999999996</v>
      </c>
      <c r="G19" s="86">
        <f t="shared" si="19"/>
        <v>9084.2999999999993</v>
      </c>
      <c r="H19" s="86">
        <f t="shared" si="19"/>
        <v>12492</v>
      </c>
      <c r="I19" s="86">
        <f t="shared" si="19"/>
        <v>8613.4</v>
      </c>
      <c r="J19" s="75">
        <f>J20+J22+J24+J25+J23</f>
        <v>11271.1</v>
      </c>
      <c r="K19" s="75">
        <f>K20+K22+K24+K25+K23</f>
        <v>11909.7</v>
      </c>
      <c r="L19" s="75">
        <f>L20+L22+L23+L24</f>
        <v>15022.4</v>
      </c>
      <c r="M19" s="75">
        <f>M20+M22+M24+M25+M23</f>
        <v>16405.199999999997</v>
      </c>
      <c r="N19" s="75">
        <f>N20+N22+N24+N25+N23+N21</f>
        <v>17203.3</v>
      </c>
      <c r="O19" s="75">
        <f>O20+O22+O24+O25+O23+O21</f>
        <v>22778.799999999999</v>
      </c>
      <c r="P19" s="75">
        <f>P20+P21+P22+P23+P24</f>
        <v>17637</v>
      </c>
      <c r="Q19" s="75">
        <f>Q20+Q21+Q22+Q23+Q24</f>
        <v>15960.3</v>
      </c>
      <c r="R19" s="75">
        <f t="shared" ref="R19:AS19" si="20">R20+R21+R22+R23+R24</f>
        <v>18220.099999999999</v>
      </c>
      <c r="S19" s="75">
        <f t="shared" si="20"/>
        <v>2753.7</v>
      </c>
      <c r="T19" s="75">
        <f t="shared" si="20"/>
        <v>27876.1</v>
      </c>
      <c r="U19" s="75">
        <f t="shared" si="20"/>
        <v>28529.8</v>
      </c>
      <c r="V19" s="75">
        <f t="shared" si="20"/>
        <v>24022.400000000001</v>
      </c>
      <c r="W19" s="75">
        <f t="shared" si="20"/>
        <v>28897.9</v>
      </c>
      <c r="X19" s="75">
        <f t="shared" si="20"/>
        <v>29509.199999999997</v>
      </c>
      <c r="Y19" s="75">
        <f t="shared" si="20"/>
        <v>29509.199999999997</v>
      </c>
      <c r="Z19" s="75">
        <f t="shared" si="20"/>
        <v>28392.800000000003</v>
      </c>
      <c r="AA19" s="75">
        <f t="shared" si="2"/>
        <v>0</v>
      </c>
      <c r="AB19" s="75">
        <f t="shared" si="3"/>
        <v>100</v>
      </c>
      <c r="AC19" s="75">
        <f t="shared" si="4"/>
        <v>-1116.3999999999942</v>
      </c>
      <c r="AD19" s="75">
        <f t="shared" si="5"/>
        <v>96.216773074159946</v>
      </c>
      <c r="AE19" s="75">
        <f t="shared" si="6"/>
        <v>177.89640545603783</v>
      </c>
      <c r="AF19" s="75">
        <f t="shared" si="7"/>
        <v>96.216773074159946</v>
      </c>
      <c r="AG19" s="75">
        <f t="shared" si="8"/>
        <v>160.98429438113061</v>
      </c>
      <c r="AH19" s="75">
        <f t="shared" si="9"/>
        <v>13548.899999999998</v>
      </c>
      <c r="AI19" s="75">
        <f t="shared" si="10"/>
        <v>184.89126144245407</v>
      </c>
      <c r="AJ19" s="75">
        <f t="shared" si="11"/>
        <v>26.80252574025354</v>
      </c>
      <c r="AK19" s="75">
        <f t="shared" si="20"/>
        <v>16520.800000000003</v>
      </c>
      <c r="AL19" s="75">
        <f t="shared" si="20"/>
        <v>26946.800000000003</v>
      </c>
      <c r="AM19" s="75">
        <f t="shared" si="12"/>
        <v>10426</v>
      </c>
      <c r="AN19" s="75">
        <f t="shared" si="13"/>
        <v>163.108324052104</v>
      </c>
      <c r="AO19" s="75">
        <f t="shared" si="14"/>
        <v>30.015627802116164</v>
      </c>
      <c r="AP19" s="75">
        <f t="shared" si="20"/>
        <v>14832.7</v>
      </c>
      <c r="AQ19" s="75">
        <f t="shared" si="20"/>
        <v>16314.2</v>
      </c>
      <c r="AR19" s="76">
        <f t="shared" si="20"/>
        <v>14884.7</v>
      </c>
      <c r="AS19" s="76">
        <f t="shared" si="20"/>
        <v>14887.7</v>
      </c>
    </row>
    <row r="20" spans="1:45" ht="18.75" customHeight="1">
      <c r="A20" s="78" t="s">
        <v>365</v>
      </c>
      <c r="B20" s="79" t="s">
        <v>341</v>
      </c>
      <c r="C20" s="79" t="s">
        <v>332</v>
      </c>
      <c r="D20" s="79" t="s">
        <v>366</v>
      </c>
      <c r="E20" s="80">
        <v>1342.7</v>
      </c>
      <c r="F20" s="89">
        <f>1789.011+540.343+26.023</f>
        <v>2355.377</v>
      </c>
      <c r="G20" s="82">
        <v>1761.1</v>
      </c>
      <c r="H20" s="82">
        <v>1230.9000000000001</v>
      </c>
      <c r="I20" s="82">
        <v>1071.9000000000001</v>
      </c>
      <c r="J20" s="81">
        <v>1617.8</v>
      </c>
      <c r="K20" s="83">
        <v>2806.9</v>
      </c>
      <c r="L20" s="83">
        <v>2076.4</v>
      </c>
      <c r="M20" s="84">
        <v>2743</v>
      </c>
      <c r="N20" s="84">
        <v>3186.9</v>
      </c>
      <c r="O20" s="84">
        <v>2929.8</v>
      </c>
      <c r="P20" s="84">
        <v>3319.2</v>
      </c>
      <c r="Q20" s="84">
        <v>1275.9000000000001</v>
      </c>
      <c r="R20" s="84">
        <v>1399.9</v>
      </c>
      <c r="S20" s="84">
        <v>794</v>
      </c>
      <c r="T20" s="84">
        <v>2583.9</v>
      </c>
      <c r="U20" s="84">
        <v>3162.4</v>
      </c>
      <c r="V20" s="84">
        <v>2466.4</v>
      </c>
      <c r="W20" s="84">
        <v>3530.5</v>
      </c>
      <c r="X20" s="84">
        <v>4141.8</v>
      </c>
      <c r="Y20" s="84">
        <v>4141.8</v>
      </c>
      <c r="Z20" s="84">
        <v>4141.8</v>
      </c>
      <c r="AA20" s="84">
        <f t="shared" si="2"/>
        <v>0</v>
      </c>
      <c r="AB20" s="84">
        <f t="shared" si="3"/>
        <v>100</v>
      </c>
      <c r="AC20" s="84">
        <f t="shared" si="4"/>
        <v>0</v>
      </c>
      <c r="AD20" s="84">
        <f t="shared" si="5"/>
        <v>100</v>
      </c>
      <c r="AE20" s="84">
        <f t="shared" si="6"/>
        <v>324.61791676463673</v>
      </c>
      <c r="AF20" s="84">
        <f t="shared" si="7"/>
        <v>100</v>
      </c>
      <c r="AG20" s="84">
        <f t="shared" si="8"/>
        <v>124.78308026030369</v>
      </c>
      <c r="AH20" s="84">
        <f t="shared" si="9"/>
        <v>2865.9</v>
      </c>
      <c r="AI20" s="84">
        <f t="shared" si="10"/>
        <v>324.61791676463673</v>
      </c>
      <c r="AJ20" s="84">
        <f t="shared" si="11"/>
        <v>3.9098187255565535</v>
      </c>
      <c r="AK20" s="84">
        <v>1827</v>
      </c>
      <c r="AL20" s="84">
        <v>1827</v>
      </c>
      <c r="AM20" s="84">
        <f t="shared" si="12"/>
        <v>0</v>
      </c>
      <c r="AN20" s="84">
        <f t="shared" si="13"/>
        <v>100</v>
      </c>
      <c r="AO20" s="84">
        <f t="shared" si="14"/>
        <v>2.0350673176208764</v>
      </c>
      <c r="AP20" s="84"/>
      <c r="AQ20" s="84"/>
      <c r="AR20" s="85"/>
      <c r="AS20" s="85"/>
    </row>
    <row r="21" spans="1:45" ht="15.75" customHeight="1">
      <c r="A21" s="78" t="s">
        <v>367</v>
      </c>
      <c r="B21" s="79" t="s">
        <v>341</v>
      </c>
      <c r="C21" s="79" t="s">
        <v>368</v>
      </c>
      <c r="D21" s="79"/>
      <c r="E21" s="80"/>
      <c r="F21" s="89"/>
      <c r="G21" s="82"/>
      <c r="H21" s="82"/>
      <c r="I21" s="82"/>
      <c r="J21" s="81"/>
      <c r="K21" s="83"/>
      <c r="L21" s="83"/>
      <c r="M21" s="84"/>
      <c r="N21" s="84">
        <v>178.1</v>
      </c>
      <c r="O21" s="84">
        <v>298.60000000000002</v>
      </c>
      <c r="P21" s="84">
        <v>299.2</v>
      </c>
      <c r="Q21" s="84"/>
      <c r="R21" s="84"/>
      <c r="S21" s="84"/>
      <c r="T21" s="84">
        <v>300</v>
      </c>
      <c r="U21" s="84">
        <v>300</v>
      </c>
      <c r="V21" s="84"/>
      <c r="W21" s="84">
        <v>300</v>
      </c>
      <c r="X21" s="84">
        <v>300</v>
      </c>
      <c r="Y21" s="84">
        <v>300</v>
      </c>
      <c r="Z21" s="84">
        <v>299.8</v>
      </c>
      <c r="AA21" s="84">
        <f t="shared" si="2"/>
        <v>0</v>
      </c>
      <c r="AB21" s="84">
        <f t="shared" si="3"/>
        <v>100</v>
      </c>
      <c r="AC21" s="84">
        <f t="shared" si="4"/>
        <v>-0.19999999999998863</v>
      </c>
      <c r="AD21" s="84">
        <f t="shared" si="5"/>
        <v>99.933333333333337</v>
      </c>
      <c r="AE21" s="84"/>
      <c r="AF21" s="84">
        <f t="shared" si="7"/>
        <v>99.933333333333337</v>
      </c>
      <c r="AG21" s="84">
        <f t="shared" si="8"/>
        <v>100.20053475935831</v>
      </c>
      <c r="AH21" s="84">
        <f t="shared" si="9"/>
        <v>300</v>
      </c>
      <c r="AI21" s="84"/>
      <c r="AJ21" s="84">
        <f t="shared" si="11"/>
        <v>0.28300827029838588</v>
      </c>
      <c r="AK21" s="84"/>
      <c r="AL21" s="84">
        <v>200</v>
      </c>
      <c r="AM21" s="84">
        <f t="shared" si="12"/>
        <v>200</v>
      </c>
      <c r="AN21" s="84"/>
      <c r="AO21" s="84">
        <f t="shared" si="14"/>
        <v>0.2227769367948414</v>
      </c>
      <c r="AP21" s="84"/>
      <c r="AQ21" s="84"/>
      <c r="AR21" s="85"/>
      <c r="AS21" s="85"/>
    </row>
    <row r="22" spans="1:45" ht="15.75" customHeight="1">
      <c r="A22" s="78" t="s">
        <v>369</v>
      </c>
      <c r="B22" s="79" t="s">
        <v>341</v>
      </c>
      <c r="C22" s="79" t="s">
        <v>370</v>
      </c>
      <c r="D22" s="79" t="s">
        <v>347</v>
      </c>
      <c r="E22" s="80">
        <v>0</v>
      </c>
      <c r="F22" s="89">
        <v>1999</v>
      </c>
      <c r="G22" s="82">
        <v>1999</v>
      </c>
      <c r="H22" s="82">
        <v>6219.4</v>
      </c>
      <c r="I22" s="82">
        <v>2400</v>
      </c>
      <c r="J22" s="81">
        <v>2400</v>
      </c>
      <c r="K22" s="83">
        <v>2400</v>
      </c>
      <c r="L22" s="83">
        <v>2400</v>
      </c>
      <c r="M22" s="84">
        <v>2400</v>
      </c>
      <c r="N22" s="84">
        <v>3500</v>
      </c>
      <c r="O22" s="84">
        <v>3500</v>
      </c>
      <c r="P22" s="84">
        <v>3202.4</v>
      </c>
      <c r="Q22" s="84">
        <v>3500</v>
      </c>
      <c r="R22" s="84">
        <v>3797.6</v>
      </c>
      <c r="S22" s="84">
        <v>793.9</v>
      </c>
      <c r="T22" s="84">
        <v>3797.6</v>
      </c>
      <c r="U22" s="84">
        <v>3797.6</v>
      </c>
      <c r="V22" s="84">
        <v>2572</v>
      </c>
      <c r="W22" s="84">
        <v>3797.6</v>
      </c>
      <c r="X22" s="84">
        <v>3797.6</v>
      </c>
      <c r="Y22" s="84">
        <v>3797.6</v>
      </c>
      <c r="Z22" s="84">
        <v>3423.5</v>
      </c>
      <c r="AA22" s="84">
        <f t="shared" si="2"/>
        <v>0</v>
      </c>
      <c r="AB22" s="84">
        <f t="shared" si="3"/>
        <v>100</v>
      </c>
      <c r="AC22" s="84">
        <f t="shared" si="4"/>
        <v>-374.09999999999991</v>
      </c>
      <c r="AD22" s="84">
        <f t="shared" si="5"/>
        <v>90.149041499894679</v>
      </c>
      <c r="AE22" s="84">
        <f t="shared" si="6"/>
        <v>97.814285714285703</v>
      </c>
      <c r="AF22" s="84">
        <f t="shared" si="7"/>
        <v>90.149041499894679</v>
      </c>
      <c r="AG22" s="84">
        <f t="shared" si="8"/>
        <v>106.90419685236073</v>
      </c>
      <c r="AH22" s="84">
        <f t="shared" si="9"/>
        <v>297.59999999999991</v>
      </c>
      <c r="AI22" s="84">
        <f t="shared" si="10"/>
        <v>108.50285714285715</v>
      </c>
      <c r="AJ22" s="84">
        <f t="shared" si="11"/>
        <v>3.2317505449183588</v>
      </c>
      <c r="AK22" s="84">
        <v>3797.6</v>
      </c>
      <c r="AL22" s="84">
        <v>4075.1</v>
      </c>
      <c r="AM22" s="84">
        <f t="shared" si="12"/>
        <v>277.5</v>
      </c>
      <c r="AN22" s="84">
        <f t="shared" si="13"/>
        <v>107.30724668211502</v>
      </c>
      <c r="AO22" s="84">
        <f t="shared" si="14"/>
        <v>4.5391914756632907</v>
      </c>
      <c r="AP22" s="84">
        <v>3797.6</v>
      </c>
      <c r="AQ22" s="84">
        <v>3797.6</v>
      </c>
      <c r="AR22" s="85">
        <v>3500</v>
      </c>
      <c r="AS22" s="85">
        <v>3500</v>
      </c>
    </row>
    <row r="23" spans="1:45" ht="22.5">
      <c r="A23" s="88" t="s">
        <v>371</v>
      </c>
      <c r="B23" s="79" t="s">
        <v>341</v>
      </c>
      <c r="C23" s="79" t="s">
        <v>359</v>
      </c>
      <c r="D23" s="79" t="s">
        <v>347</v>
      </c>
      <c r="E23" s="80">
        <v>9792.2999999999993</v>
      </c>
      <c r="F23" s="89">
        <f>1434.756+97+667.02+775.669</f>
        <v>2974.4449999999997</v>
      </c>
      <c r="G23" s="82">
        <v>4960.5</v>
      </c>
      <c r="H23" s="82">
        <v>3815.8</v>
      </c>
      <c r="I23" s="82">
        <v>3878.9</v>
      </c>
      <c r="J23" s="81">
        <v>6661</v>
      </c>
      <c r="K23" s="83">
        <v>6102.8</v>
      </c>
      <c r="L23" s="83">
        <v>9809.2000000000007</v>
      </c>
      <c r="M23" s="84">
        <v>10565.3</v>
      </c>
      <c r="N23" s="84">
        <v>9623.2000000000007</v>
      </c>
      <c r="O23" s="84">
        <v>15369.7</v>
      </c>
      <c r="P23" s="84">
        <v>10816.2</v>
      </c>
      <c r="Q23" s="84">
        <v>11184.4</v>
      </c>
      <c r="R23" s="84">
        <v>13022.6</v>
      </c>
      <c r="S23" s="84">
        <v>1165.8</v>
      </c>
      <c r="T23" s="84">
        <v>21194.6</v>
      </c>
      <c r="U23" s="84">
        <v>21269.8</v>
      </c>
      <c r="V23" s="84">
        <v>18984</v>
      </c>
      <c r="W23" s="84">
        <v>21269.8</v>
      </c>
      <c r="X23" s="84">
        <v>21269.8</v>
      </c>
      <c r="Y23" s="84">
        <v>21269.8</v>
      </c>
      <c r="Z23" s="84">
        <v>20527.7</v>
      </c>
      <c r="AA23" s="84">
        <f t="shared" si="2"/>
        <v>0</v>
      </c>
      <c r="AB23" s="84">
        <f t="shared" si="3"/>
        <v>100</v>
      </c>
      <c r="AC23" s="84">
        <f t="shared" si="4"/>
        <v>-742.09999999999854</v>
      </c>
      <c r="AD23" s="84">
        <f t="shared" si="5"/>
        <v>96.511015618388512</v>
      </c>
      <c r="AE23" s="84">
        <f t="shared" si="6"/>
        <v>183.53867887414614</v>
      </c>
      <c r="AF23" s="84">
        <f t="shared" si="7"/>
        <v>96.511015618388512</v>
      </c>
      <c r="AG23" s="84">
        <f t="shared" si="8"/>
        <v>189.78661637173869</v>
      </c>
      <c r="AH23" s="84">
        <f t="shared" si="9"/>
        <v>10085.4</v>
      </c>
      <c r="AI23" s="84">
        <f t="shared" si="10"/>
        <v>190.17381352598261</v>
      </c>
      <c r="AJ23" s="84">
        <f t="shared" si="11"/>
        <v>19.377948199480237</v>
      </c>
      <c r="AK23" s="84">
        <v>10896.2</v>
      </c>
      <c r="AL23" s="84">
        <v>20844.7</v>
      </c>
      <c r="AM23" s="84">
        <f t="shared" si="12"/>
        <v>9948.5</v>
      </c>
      <c r="AN23" s="84">
        <f t="shared" si="13"/>
        <v>191.30247242157816</v>
      </c>
      <c r="AO23" s="84">
        <f t="shared" si="14"/>
        <v>23.218592072037154</v>
      </c>
      <c r="AP23" s="84">
        <v>11035.1</v>
      </c>
      <c r="AQ23" s="84">
        <v>12516.6</v>
      </c>
      <c r="AR23" s="85">
        <v>11384.7</v>
      </c>
      <c r="AS23" s="85">
        <v>11387.7</v>
      </c>
    </row>
    <row r="24" spans="1:45" ht="15.75" hidden="1" customHeight="1">
      <c r="A24" s="88" t="s">
        <v>372</v>
      </c>
      <c r="B24" s="79" t="s">
        <v>341</v>
      </c>
      <c r="C24" s="79" t="s">
        <v>334</v>
      </c>
      <c r="D24" s="79" t="s">
        <v>373</v>
      </c>
      <c r="E24" s="80">
        <v>231.9</v>
      </c>
      <c r="F24" s="89">
        <f>43.647+226.909+46.183+4.12</f>
        <v>320.85899999999998</v>
      </c>
      <c r="G24" s="82">
        <v>299.7</v>
      </c>
      <c r="H24" s="82">
        <v>645.9</v>
      </c>
      <c r="I24" s="82">
        <v>971.6</v>
      </c>
      <c r="J24" s="81">
        <v>592.29999999999995</v>
      </c>
      <c r="K24" s="83">
        <v>600</v>
      </c>
      <c r="L24" s="83">
        <v>736.8</v>
      </c>
      <c r="M24" s="84">
        <v>696.9</v>
      </c>
      <c r="N24" s="84">
        <v>715.1</v>
      </c>
      <c r="O24" s="84">
        <v>680.7</v>
      </c>
      <c r="P24" s="84">
        <v>0</v>
      </c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>
        <f t="shared" si="2"/>
        <v>0</v>
      </c>
      <c r="AB24" s="84" t="e">
        <f t="shared" si="3"/>
        <v>#DIV/0!</v>
      </c>
      <c r="AC24" s="84">
        <f t="shared" si="4"/>
        <v>0</v>
      </c>
      <c r="AD24" s="84" t="e">
        <f t="shared" si="5"/>
        <v>#DIV/0!</v>
      </c>
      <c r="AE24" s="84" t="e">
        <f t="shared" si="6"/>
        <v>#DIV/0!</v>
      </c>
      <c r="AF24" s="84" t="e">
        <f t="shared" si="7"/>
        <v>#DIV/0!</v>
      </c>
      <c r="AG24" s="84" t="e">
        <f t="shared" si="8"/>
        <v>#DIV/0!</v>
      </c>
      <c r="AH24" s="84">
        <f t="shared" si="9"/>
        <v>0</v>
      </c>
      <c r="AI24" s="84" t="e">
        <f t="shared" si="10"/>
        <v>#DIV/0!</v>
      </c>
      <c r="AJ24" s="84">
        <f t="shared" si="11"/>
        <v>0</v>
      </c>
      <c r="AK24" s="84"/>
      <c r="AL24" s="84"/>
      <c r="AM24" s="84">
        <f t="shared" si="12"/>
        <v>0</v>
      </c>
      <c r="AN24" s="84" t="e">
        <f t="shared" si="13"/>
        <v>#DIV/0!</v>
      </c>
      <c r="AO24" s="84">
        <f t="shared" si="14"/>
        <v>0</v>
      </c>
      <c r="AP24" s="84"/>
      <c r="AQ24" s="84"/>
      <c r="AR24" s="85"/>
      <c r="AS24" s="85"/>
    </row>
    <row r="25" spans="1:45" ht="24" hidden="1" customHeight="1">
      <c r="A25" s="88" t="s">
        <v>374</v>
      </c>
      <c r="B25" s="79" t="s">
        <v>341</v>
      </c>
      <c r="C25" s="79" t="s">
        <v>375</v>
      </c>
      <c r="D25" s="79" t="s">
        <v>347</v>
      </c>
      <c r="E25" s="80">
        <v>677.9</v>
      </c>
      <c r="F25" s="89">
        <f>64+98</f>
        <v>162</v>
      </c>
      <c r="G25" s="82">
        <v>64</v>
      </c>
      <c r="H25" s="82">
        <v>580</v>
      </c>
      <c r="I25" s="82">
        <v>291</v>
      </c>
      <c r="J25" s="81"/>
      <c r="K25" s="83"/>
      <c r="L25" s="90" t="e">
        <f>#REF!/$K$48*100</f>
        <v>#REF!</v>
      </c>
      <c r="M25" s="84"/>
      <c r="N25" s="75"/>
      <c r="O25" s="75"/>
      <c r="P25" s="75"/>
      <c r="Q25" s="84" t="e">
        <f>O25/#REF!*100</f>
        <v>#REF!</v>
      </c>
      <c r="R25" s="84"/>
      <c r="S25" s="84"/>
      <c r="T25" s="84"/>
      <c r="U25" s="84"/>
      <c r="V25" s="84"/>
      <c r="W25" s="84"/>
      <c r="X25" s="84"/>
      <c r="Y25" s="84"/>
      <c r="Z25" s="84"/>
      <c r="AA25" s="84">
        <f t="shared" si="2"/>
        <v>0</v>
      </c>
      <c r="AB25" s="84" t="e">
        <f t="shared" si="3"/>
        <v>#DIV/0!</v>
      </c>
      <c r="AC25" s="84">
        <f t="shared" si="4"/>
        <v>0</v>
      </c>
      <c r="AD25" s="84" t="e">
        <f t="shared" si="5"/>
        <v>#DIV/0!</v>
      </c>
      <c r="AE25" s="84" t="e">
        <f t="shared" si="6"/>
        <v>#REF!</v>
      </c>
      <c r="AF25" s="84" t="e">
        <f t="shared" si="7"/>
        <v>#DIV/0!</v>
      </c>
      <c r="AG25" s="84" t="e">
        <f t="shared" si="8"/>
        <v>#DIV/0!</v>
      </c>
      <c r="AH25" s="84" t="e">
        <f t="shared" si="9"/>
        <v>#REF!</v>
      </c>
      <c r="AI25" s="84" t="e">
        <f t="shared" si="10"/>
        <v>#REF!</v>
      </c>
      <c r="AJ25" s="84">
        <f t="shared" si="11"/>
        <v>0</v>
      </c>
      <c r="AK25" s="84"/>
      <c r="AL25" s="84"/>
      <c r="AM25" s="84">
        <f t="shared" si="12"/>
        <v>0</v>
      </c>
      <c r="AN25" s="84" t="e">
        <f t="shared" si="13"/>
        <v>#DIV/0!</v>
      </c>
      <c r="AO25" s="84">
        <f t="shared" si="14"/>
        <v>0</v>
      </c>
      <c r="AP25" s="84"/>
      <c r="AQ25" s="84"/>
      <c r="AR25" s="85" t="e">
        <f>O25/N25*100</f>
        <v>#DIV/0!</v>
      </c>
      <c r="AS25" s="85" t="e">
        <f>#REF!-#REF!</f>
        <v>#REF!</v>
      </c>
    </row>
    <row r="26" spans="1:45" s="77" customFormat="1" ht="26.25" customHeight="1">
      <c r="A26" s="73" t="s">
        <v>376</v>
      </c>
      <c r="B26" s="74" t="s">
        <v>368</v>
      </c>
      <c r="C26" s="74"/>
      <c r="D26" s="86">
        <f t="shared" ref="D26:I26" si="21">D27+D29+D28</f>
        <v>13595.323</v>
      </c>
      <c r="E26" s="86">
        <f t="shared" si="21"/>
        <v>7656.24</v>
      </c>
      <c r="F26" s="86">
        <f t="shared" si="21"/>
        <v>17347.534999999996</v>
      </c>
      <c r="G26" s="86">
        <f t="shared" si="21"/>
        <v>10485.200000000001</v>
      </c>
      <c r="H26" s="86">
        <f t="shared" si="21"/>
        <v>13044.199999999999</v>
      </c>
      <c r="I26" s="86">
        <f t="shared" si="21"/>
        <v>19496</v>
      </c>
      <c r="J26" s="75">
        <f>J27+J28+J29</f>
        <v>34636.700000000004</v>
      </c>
      <c r="K26" s="75">
        <f>K27+K28+K29</f>
        <v>11983.4</v>
      </c>
      <c r="L26" s="75">
        <f t="shared" ref="L26:AS26" si="22">L27+L28+L29</f>
        <v>12296.1</v>
      </c>
      <c r="M26" s="75">
        <f t="shared" si="22"/>
        <v>43615.899999999994</v>
      </c>
      <c r="N26" s="75">
        <f t="shared" si="22"/>
        <v>16776.599999999999</v>
      </c>
      <c r="O26" s="75">
        <f t="shared" si="22"/>
        <v>28399.9</v>
      </c>
      <c r="P26" s="75">
        <f t="shared" si="22"/>
        <v>17930.899999999998</v>
      </c>
      <c r="Q26" s="75">
        <f t="shared" si="22"/>
        <v>13465.099999999999</v>
      </c>
      <c r="R26" s="75">
        <f t="shared" si="22"/>
        <v>21837</v>
      </c>
      <c r="S26" s="75">
        <f t="shared" si="22"/>
        <v>3440.1</v>
      </c>
      <c r="T26" s="75">
        <f t="shared" si="22"/>
        <v>28901.3</v>
      </c>
      <c r="U26" s="75">
        <f t="shared" si="22"/>
        <v>26141.599999999999</v>
      </c>
      <c r="V26" s="75">
        <f t="shared" si="22"/>
        <v>9421.2999999999993</v>
      </c>
      <c r="W26" s="75">
        <f t="shared" si="22"/>
        <v>27784.300000000003</v>
      </c>
      <c r="X26" s="75">
        <f t="shared" si="22"/>
        <v>28627.5</v>
      </c>
      <c r="Y26" s="75">
        <f t="shared" si="22"/>
        <v>28627.5</v>
      </c>
      <c r="Z26" s="75">
        <f t="shared" si="22"/>
        <v>24676.5</v>
      </c>
      <c r="AA26" s="75">
        <f t="shared" si="2"/>
        <v>0</v>
      </c>
      <c r="AB26" s="75">
        <f t="shared" si="3"/>
        <v>100</v>
      </c>
      <c r="AC26" s="75">
        <f t="shared" si="4"/>
        <v>-3951</v>
      </c>
      <c r="AD26" s="75">
        <f t="shared" si="5"/>
        <v>86.198585276395079</v>
      </c>
      <c r="AE26" s="75">
        <f t="shared" si="6"/>
        <v>183.26265679423105</v>
      </c>
      <c r="AF26" s="75">
        <f t="shared" si="7"/>
        <v>86.198585276395079</v>
      </c>
      <c r="AG26" s="75">
        <f t="shared" si="8"/>
        <v>137.61997445750075</v>
      </c>
      <c r="AH26" s="75">
        <f t="shared" si="9"/>
        <v>15162.400000000001</v>
      </c>
      <c r="AI26" s="75">
        <f t="shared" si="10"/>
        <v>212.60517931541543</v>
      </c>
      <c r="AJ26" s="75">
        <f t="shared" si="11"/>
        <v>23.294374856631485</v>
      </c>
      <c r="AK26" s="75">
        <f t="shared" si="22"/>
        <v>9668.9</v>
      </c>
      <c r="AL26" s="75">
        <f t="shared" si="22"/>
        <v>15786.5</v>
      </c>
      <c r="AM26" s="75">
        <f t="shared" si="12"/>
        <v>6117.6</v>
      </c>
      <c r="AN26" s="75">
        <f t="shared" si="13"/>
        <v>163.27089948184386</v>
      </c>
      <c r="AO26" s="75">
        <f t="shared" si="14"/>
        <v>17.584340563558818</v>
      </c>
      <c r="AP26" s="75">
        <f t="shared" si="22"/>
        <v>8043</v>
      </c>
      <c r="AQ26" s="75">
        <f t="shared" si="22"/>
        <v>6343.2</v>
      </c>
      <c r="AR26" s="76">
        <f t="shared" si="22"/>
        <v>4117</v>
      </c>
      <c r="AS26" s="76">
        <f t="shared" si="22"/>
        <v>2685.8999999999996</v>
      </c>
    </row>
    <row r="27" spans="1:45" ht="15.75" customHeight="1">
      <c r="A27" s="78" t="s">
        <v>377</v>
      </c>
      <c r="B27" s="79" t="s">
        <v>368</v>
      </c>
      <c r="C27" s="79" t="s">
        <v>332</v>
      </c>
      <c r="D27" s="79" t="s">
        <v>378</v>
      </c>
      <c r="E27" s="80">
        <v>4466.8999999999996</v>
      </c>
      <c r="F27" s="89">
        <f>3383.74</f>
        <v>3383.74</v>
      </c>
      <c r="G27" s="82">
        <v>2252.3000000000002</v>
      </c>
      <c r="H27" s="82">
        <v>4761.7</v>
      </c>
      <c r="I27" s="82">
        <v>3981</v>
      </c>
      <c r="J27" s="81">
        <v>4566.6000000000004</v>
      </c>
      <c r="K27" s="83">
        <v>3410.7</v>
      </c>
      <c r="L27" s="83">
        <v>823.2</v>
      </c>
      <c r="M27" s="84">
        <v>4769.1000000000004</v>
      </c>
      <c r="N27" s="84">
        <v>2011.1</v>
      </c>
      <c r="O27" s="84">
        <v>7749.6</v>
      </c>
      <c r="P27" s="84">
        <v>5180.5</v>
      </c>
      <c r="Q27" s="84">
        <v>1085.8</v>
      </c>
      <c r="R27" s="84">
        <v>2484.1999999999998</v>
      </c>
      <c r="S27" s="84">
        <v>87.5</v>
      </c>
      <c r="T27" s="84">
        <v>2484.1999999999998</v>
      </c>
      <c r="U27" s="84">
        <v>5313.9</v>
      </c>
      <c r="V27" s="84">
        <v>1598.8</v>
      </c>
      <c r="W27" s="84">
        <v>5397.8</v>
      </c>
      <c r="X27" s="84">
        <v>4591.6000000000004</v>
      </c>
      <c r="Y27" s="84">
        <v>4591.6000000000004</v>
      </c>
      <c r="Z27" s="84">
        <v>3897.1</v>
      </c>
      <c r="AA27" s="84">
        <f t="shared" si="2"/>
        <v>0</v>
      </c>
      <c r="AB27" s="84">
        <f t="shared" si="3"/>
        <v>100</v>
      </c>
      <c r="AC27" s="84">
        <f t="shared" si="4"/>
        <v>-694.50000000000045</v>
      </c>
      <c r="AD27" s="84">
        <f t="shared" si="5"/>
        <v>84.874553532537661</v>
      </c>
      <c r="AE27" s="84">
        <f t="shared" si="6"/>
        <v>358.91508565113281</v>
      </c>
      <c r="AF27" s="84">
        <f t="shared" si="7"/>
        <v>84.874553532537661</v>
      </c>
      <c r="AG27" s="84">
        <f t="shared" si="8"/>
        <v>75.226329504874045</v>
      </c>
      <c r="AH27" s="84">
        <f t="shared" si="9"/>
        <v>3505.8</v>
      </c>
      <c r="AI27" s="84">
        <f t="shared" si="10"/>
        <v>422.87714127832015</v>
      </c>
      <c r="AJ27" s="84">
        <f t="shared" si="11"/>
        <v>3.678824316810672</v>
      </c>
      <c r="AK27" s="84">
        <v>1094.5</v>
      </c>
      <c r="AL27" s="84">
        <v>1934.1</v>
      </c>
      <c r="AM27" s="84">
        <f t="shared" si="12"/>
        <v>839.59999999999991</v>
      </c>
      <c r="AN27" s="84">
        <f t="shared" si="13"/>
        <v>176.71082686158061</v>
      </c>
      <c r="AO27" s="84">
        <f t="shared" si="14"/>
        <v>2.1543643672745136</v>
      </c>
      <c r="AP27" s="84">
        <v>1094.5</v>
      </c>
      <c r="AQ27" s="84">
        <v>1094.5</v>
      </c>
      <c r="AR27" s="85">
        <v>1085.8</v>
      </c>
      <c r="AS27" s="85">
        <v>1085.8</v>
      </c>
    </row>
    <row r="28" spans="1:45" ht="15.75" customHeight="1">
      <c r="A28" s="91" t="s">
        <v>379</v>
      </c>
      <c r="B28" s="79" t="s">
        <v>368</v>
      </c>
      <c r="C28" s="79" t="s">
        <v>338</v>
      </c>
      <c r="D28" s="79" t="s">
        <v>380</v>
      </c>
      <c r="E28" s="80">
        <v>1881.94</v>
      </c>
      <c r="F28" s="89">
        <f>595.401+6189.499+2264.229</f>
        <v>9049.128999999999</v>
      </c>
      <c r="G28" s="82">
        <v>4999.3</v>
      </c>
      <c r="H28" s="82">
        <v>5253.4</v>
      </c>
      <c r="I28" s="82">
        <v>8035.4</v>
      </c>
      <c r="J28" s="81">
        <v>26009.8</v>
      </c>
      <c r="K28" s="83">
        <v>1007.8</v>
      </c>
      <c r="L28" s="83">
        <v>449.8</v>
      </c>
      <c r="M28" s="84">
        <v>4230.7</v>
      </c>
      <c r="N28" s="84">
        <v>9338.6</v>
      </c>
      <c r="O28" s="84">
        <v>7785.1</v>
      </c>
      <c r="P28" s="84">
        <v>9517.7999999999993</v>
      </c>
      <c r="Q28" s="84">
        <v>9337.9</v>
      </c>
      <c r="R28" s="84">
        <v>10423.9</v>
      </c>
      <c r="S28" s="84">
        <v>2296</v>
      </c>
      <c r="T28" s="84">
        <v>10423.9</v>
      </c>
      <c r="U28" s="84">
        <v>5307.1</v>
      </c>
      <c r="V28" s="84">
        <v>5307</v>
      </c>
      <c r="W28" s="84">
        <v>6935.9</v>
      </c>
      <c r="X28" s="84">
        <v>8696.9</v>
      </c>
      <c r="Y28" s="84">
        <v>8696.9</v>
      </c>
      <c r="Z28" s="84">
        <v>8696.9</v>
      </c>
      <c r="AA28" s="84">
        <f t="shared" si="2"/>
        <v>0</v>
      </c>
      <c r="AB28" s="84">
        <f t="shared" si="3"/>
        <v>100</v>
      </c>
      <c r="AC28" s="84">
        <f t="shared" si="4"/>
        <v>0</v>
      </c>
      <c r="AD28" s="84">
        <f t="shared" si="5"/>
        <v>100</v>
      </c>
      <c r="AE28" s="84">
        <f t="shared" si="6"/>
        <v>93.135501558166183</v>
      </c>
      <c r="AF28" s="84">
        <f t="shared" si="7"/>
        <v>100</v>
      </c>
      <c r="AG28" s="84">
        <f t="shared" si="8"/>
        <v>91.375107692954259</v>
      </c>
      <c r="AH28" s="84">
        <f t="shared" si="9"/>
        <v>-641</v>
      </c>
      <c r="AI28" s="84">
        <f t="shared" si="10"/>
        <v>93.135501558166183</v>
      </c>
      <c r="AJ28" s="84">
        <f t="shared" si="11"/>
        <v>8.2097886122682855</v>
      </c>
      <c r="AK28" s="84">
        <v>5000</v>
      </c>
      <c r="AL28" s="84">
        <v>5000</v>
      </c>
      <c r="AM28" s="84">
        <f t="shared" si="12"/>
        <v>0</v>
      </c>
      <c r="AN28" s="84">
        <f t="shared" si="13"/>
        <v>100</v>
      </c>
      <c r="AO28" s="84">
        <f t="shared" si="14"/>
        <v>5.5694234198710353</v>
      </c>
      <c r="AP28" s="84">
        <v>5000</v>
      </c>
      <c r="AQ28" s="84">
        <v>5000</v>
      </c>
      <c r="AR28" s="85">
        <v>221</v>
      </c>
      <c r="AS28" s="85">
        <v>221</v>
      </c>
    </row>
    <row r="29" spans="1:45" ht="15.75" customHeight="1">
      <c r="A29" s="78" t="s">
        <v>381</v>
      </c>
      <c r="B29" s="79" t="s">
        <v>368</v>
      </c>
      <c r="C29" s="79" t="s">
        <v>333</v>
      </c>
      <c r="D29" s="79" t="s">
        <v>382</v>
      </c>
      <c r="E29" s="80">
        <v>1307.4000000000001</v>
      </c>
      <c r="F29" s="89">
        <f>625.621+390.945+12.4+200+95.76+18.64+1589.711+316.634+1664.955</f>
        <v>4914.6660000000002</v>
      </c>
      <c r="G29" s="82">
        <v>3233.6</v>
      </c>
      <c r="H29" s="82">
        <v>3029.1</v>
      </c>
      <c r="I29" s="82">
        <v>7479.6</v>
      </c>
      <c r="J29" s="81">
        <v>4060.3</v>
      </c>
      <c r="K29" s="83">
        <v>7564.9</v>
      </c>
      <c r="L29" s="83">
        <v>11023.1</v>
      </c>
      <c r="M29" s="84">
        <v>34616.1</v>
      </c>
      <c r="N29" s="84">
        <v>5426.9</v>
      </c>
      <c r="O29" s="84">
        <v>12865.2</v>
      </c>
      <c r="P29" s="84">
        <v>3232.6</v>
      </c>
      <c r="Q29" s="84">
        <v>3041.4</v>
      </c>
      <c r="R29" s="84">
        <v>8928.9</v>
      </c>
      <c r="S29" s="84">
        <v>1056.5999999999999</v>
      </c>
      <c r="T29" s="84">
        <v>15993.2</v>
      </c>
      <c r="U29" s="84">
        <v>15520.6</v>
      </c>
      <c r="V29" s="84">
        <v>2515.5</v>
      </c>
      <c r="W29" s="84">
        <v>15450.6</v>
      </c>
      <c r="X29" s="84">
        <v>15339</v>
      </c>
      <c r="Y29" s="84">
        <v>15339</v>
      </c>
      <c r="Z29" s="84">
        <v>12082.5</v>
      </c>
      <c r="AA29" s="84">
        <f t="shared" si="2"/>
        <v>0</v>
      </c>
      <c r="AB29" s="84">
        <f t="shared" si="3"/>
        <v>100</v>
      </c>
      <c r="AC29" s="84">
        <f t="shared" si="4"/>
        <v>-3256.5</v>
      </c>
      <c r="AD29" s="84">
        <f t="shared" si="5"/>
        <v>78.769802464306665</v>
      </c>
      <c r="AE29" s="84">
        <f t="shared" si="6"/>
        <v>397.26770566186622</v>
      </c>
      <c r="AF29" s="84">
        <f t="shared" si="7"/>
        <v>78.769802464306665</v>
      </c>
      <c r="AG29" s="84">
        <f t="shared" si="8"/>
        <v>373.77033966466627</v>
      </c>
      <c r="AH29" s="84">
        <f t="shared" si="9"/>
        <v>12297.6</v>
      </c>
      <c r="AI29" s="84">
        <f t="shared" si="10"/>
        <v>504.34010652988752</v>
      </c>
      <c r="AJ29" s="84">
        <f t="shared" si="11"/>
        <v>11.405761927552525</v>
      </c>
      <c r="AK29" s="84">
        <v>3574.4</v>
      </c>
      <c r="AL29" s="84">
        <v>8852.4</v>
      </c>
      <c r="AM29" s="84">
        <f t="shared" si="12"/>
        <v>5278</v>
      </c>
      <c r="AN29" s="84">
        <f t="shared" si="13"/>
        <v>247.66114592658909</v>
      </c>
      <c r="AO29" s="84">
        <f t="shared" si="14"/>
        <v>9.8605527764132681</v>
      </c>
      <c r="AP29" s="84">
        <v>1948.5</v>
      </c>
      <c r="AQ29" s="84">
        <v>248.7</v>
      </c>
      <c r="AR29" s="85">
        <v>2810.2</v>
      </c>
      <c r="AS29" s="85">
        <v>1379.1</v>
      </c>
    </row>
    <row r="30" spans="1:45" s="77" customFormat="1" ht="15.75" customHeight="1">
      <c r="A30" s="92" t="s">
        <v>383</v>
      </c>
      <c r="B30" s="93">
        <v>6</v>
      </c>
      <c r="C30" s="93"/>
      <c r="D30" s="74"/>
      <c r="E30" s="86"/>
      <c r="F30" s="94"/>
      <c r="G30" s="95"/>
      <c r="H30" s="95"/>
      <c r="I30" s="95"/>
      <c r="J30" s="96"/>
      <c r="K30" s="90">
        <f>K31</f>
        <v>2.04</v>
      </c>
      <c r="L30" s="90">
        <f>L31</f>
        <v>0</v>
      </c>
      <c r="M30" s="90">
        <f>M31</f>
        <v>2.2000000000000002</v>
      </c>
      <c r="N30" s="75"/>
      <c r="O30" s="75">
        <f>O31</f>
        <v>1206</v>
      </c>
      <c r="P30" s="75">
        <f>P31</f>
        <v>3737.9</v>
      </c>
      <c r="Q30" s="75">
        <f t="shared" ref="Q30:AS30" si="23">Q31</f>
        <v>0</v>
      </c>
      <c r="R30" s="75">
        <f t="shared" si="23"/>
        <v>0</v>
      </c>
      <c r="S30" s="75">
        <f t="shared" si="23"/>
        <v>0</v>
      </c>
      <c r="T30" s="75">
        <f t="shared" si="23"/>
        <v>0</v>
      </c>
      <c r="U30" s="75">
        <f t="shared" si="23"/>
        <v>2088.8000000000002</v>
      </c>
      <c r="V30" s="75">
        <f t="shared" si="23"/>
        <v>1143.5999999999999</v>
      </c>
      <c r="W30" s="75">
        <f t="shared" si="23"/>
        <v>2088.8000000000002</v>
      </c>
      <c r="X30" s="75">
        <f t="shared" si="23"/>
        <v>1489.4</v>
      </c>
      <c r="Y30" s="75">
        <f t="shared" si="23"/>
        <v>1489.4</v>
      </c>
      <c r="Z30" s="75">
        <f t="shared" si="23"/>
        <v>1489.4</v>
      </c>
      <c r="AA30" s="75">
        <f t="shared" si="2"/>
        <v>0</v>
      </c>
      <c r="AB30" s="75">
        <f t="shared" si="3"/>
        <v>100</v>
      </c>
      <c r="AC30" s="75">
        <f t="shared" si="4"/>
        <v>0</v>
      </c>
      <c r="AD30" s="75">
        <f t="shared" si="5"/>
        <v>100</v>
      </c>
      <c r="AE30" s="75"/>
      <c r="AF30" s="75">
        <f t="shared" si="7"/>
        <v>100</v>
      </c>
      <c r="AG30" s="75">
        <f t="shared" si="8"/>
        <v>39.84590277963563</v>
      </c>
      <c r="AH30" s="75">
        <f t="shared" si="9"/>
        <v>1489.4</v>
      </c>
      <c r="AI30" s="75"/>
      <c r="AJ30" s="75">
        <f t="shared" si="11"/>
        <v>1.405979045304923</v>
      </c>
      <c r="AK30" s="75">
        <f t="shared" si="23"/>
        <v>0</v>
      </c>
      <c r="AL30" s="75">
        <f t="shared" si="23"/>
        <v>0</v>
      </c>
      <c r="AM30" s="75">
        <f t="shared" si="12"/>
        <v>0</v>
      </c>
      <c r="AN30" s="75"/>
      <c r="AO30" s="75">
        <f t="shared" si="14"/>
        <v>0</v>
      </c>
      <c r="AP30" s="75">
        <f t="shared" si="23"/>
        <v>0</v>
      </c>
      <c r="AQ30" s="75">
        <f t="shared" si="23"/>
        <v>0</v>
      </c>
      <c r="AR30" s="76">
        <f t="shared" si="23"/>
        <v>0</v>
      </c>
      <c r="AS30" s="76">
        <f t="shared" si="23"/>
        <v>0</v>
      </c>
    </row>
    <row r="31" spans="1:45" ht="23.25" customHeight="1">
      <c r="A31" s="97" t="s">
        <v>384</v>
      </c>
      <c r="B31" s="98">
        <v>6</v>
      </c>
      <c r="C31" s="98">
        <v>5</v>
      </c>
      <c r="D31" s="79"/>
      <c r="E31" s="80"/>
      <c r="F31" s="89"/>
      <c r="G31" s="82"/>
      <c r="H31" s="82"/>
      <c r="I31" s="82"/>
      <c r="J31" s="81"/>
      <c r="K31" s="83">
        <v>2.04</v>
      </c>
      <c r="L31" s="83"/>
      <c r="M31" s="84">
        <v>2.2000000000000002</v>
      </c>
      <c r="N31" s="84"/>
      <c r="O31" s="84">
        <v>1206</v>
      </c>
      <c r="P31" s="84">
        <v>3737.9</v>
      </c>
      <c r="Q31" s="84"/>
      <c r="R31" s="84"/>
      <c r="S31" s="84"/>
      <c r="T31" s="84"/>
      <c r="U31" s="84">
        <v>2088.8000000000002</v>
      </c>
      <c r="V31" s="84">
        <v>1143.5999999999999</v>
      </c>
      <c r="W31" s="84">
        <v>2088.8000000000002</v>
      </c>
      <c r="X31" s="84">
        <v>1489.4</v>
      </c>
      <c r="Y31" s="84">
        <v>1489.4</v>
      </c>
      <c r="Z31" s="84">
        <v>1489.4</v>
      </c>
      <c r="AA31" s="84">
        <f t="shared" si="2"/>
        <v>0</v>
      </c>
      <c r="AB31" s="84">
        <f t="shared" si="3"/>
        <v>100</v>
      </c>
      <c r="AC31" s="84">
        <f t="shared" si="4"/>
        <v>0</v>
      </c>
      <c r="AD31" s="84">
        <f t="shared" si="5"/>
        <v>100</v>
      </c>
      <c r="AE31" s="84"/>
      <c r="AF31" s="84">
        <f t="shared" si="7"/>
        <v>100</v>
      </c>
      <c r="AG31" s="84">
        <f t="shared" si="8"/>
        <v>39.84590277963563</v>
      </c>
      <c r="AH31" s="84">
        <f t="shared" si="9"/>
        <v>1489.4</v>
      </c>
      <c r="AI31" s="84"/>
      <c r="AJ31" s="84">
        <f t="shared" si="11"/>
        <v>1.405979045304923</v>
      </c>
      <c r="AK31" s="84"/>
      <c r="AL31" s="84">
        <v>0</v>
      </c>
      <c r="AM31" s="84">
        <f t="shared" si="12"/>
        <v>0</v>
      </c>
      <c r="AN31" s="84"/>
      <c r="AO31" s="84">
        <f t="shared" si="14"/>
        <v>0</v>
      </c>
      <c r="AP31" s="84"/>
      <c r="AQ31" s="84"/>
      <c r="AR31" s="85"/>
      <c r="AS31" s="85"/>
    </row>
    <row r="32" spans="1:45" s="77" customFormat="1" ht="15" customHeight="1">
      <c r="A32" s="73" t="s">
        <v>385</v>
      </c>
      <c r="B32" s="74" t="s">
        <v>346</v>
      </c>
      <c r="C32" s="74"/>
      <c r="D32" s="86" t="str">
        <f t="shared" ref="D32:J32" si="24">D34</f>
        <v>0</v>
      </c>
      <c r="E32" s="86">
        <f t="shared" si="24"/>
        <v>0</v>
      </c>
      <c r="F32" s="86">
        <f t="shared" si="24"/>
        <v>18</v>
      </c>
      <c r="G32" s="86">
        <f t="shared" si="24"/>
        <v>0</v>
      </c>
      <c r="H32" s="86">
        <f t="shared" si="24"/>
        <v>0</v>
      </c>
      <c r="I32" s="86">
        <f t="shared" si="24"/>
        <v>0</v>
      </c>
      <c r="J32" s="75">
        <f t="shared" si="24"/>
        <v>91.5</v>
      </c>
      <c r="K32" s="90"/>
      <c r="L32" s="90" t="e">
        <f>#REF!/$K$48*100</f>
        <v>#REF!</v>
      </c>
      <c r="M32" s="75"/>
      <c r="N32" s="75"/>
      <c r="O32" s="75"/>
      <c r="P32" s="75"/>
      <c r="Q32" s="75"/>
      <c r="R32" s="75">
        <f>R33</f>
        <v>64.599999999999994</v>
      </c>
      <c r="S32" s="75">
        <f t="shared" ref="S32:AQ32" si="25">S33</f>
        <v>64.599999999999994</v>
      </c>
      <c r="T32" s="75">
        <f t="shared" si="25"/>
        <v>64.599999999999994</v>
      </c>
      <c r="U32" s="75">
        <f t="shared" si="25"/>
        <v>87.2</v>
      </c>
      <c r="V32" s="75">
        <f t="shared" si="25"/>
        <v>87.2</v>
      </c>
      <c r="W32" s="75">
        <f t="shared" si="25"/>
        <v>87.5</v>
      </c>
      <c r="X32" s="75">
        <f t="shared" si="25"/>
        <v>87.2</v>
      </c>
      <c r="Y32" s="75">
        <f t="shared" si="25"/>
        <v>87.2</v>
      </c>
      <c r="Z32" s="75">
        <f t="shared" si="25"/>
        <v>87.2</v>
      </c>
      <c r="AA32" s="75">
        <f t="shared" si="2"/>
        <v>0</v>
      </c>
      <c r="AB32" s="75">
        <f t="shared" si="3"/>
        <v>100</v>
      </c>
      <c r="AC32" s="75">
        <f t="shared" si="4"/>
        <v>0</v>
      </c>
      <c r="AD32" s="75">
        <f t="shared" si="5"/>
        <v>100</v>
      </c>
      <c r="AE32" s="75"/>
      <c r="AF32" s="75">
        <f t="shared" si="7"/>
        <v>100</v>
      </c>
      <c r="AG32" s="75"/>
      <c r="AH32" s="75">
        <f t="shared" si="9"/>
        <v>87.2</v>
      </c>
      <c r="AI32" s="75"/>
      <c r="AJ32" s="75">
        <f t="shared" si="11"/>
        <v>8.2315947865307701E-2</v>
      </c>
      <c r="AK32" s="75">
        <f t="shared" si="25"/>
        <v>0</v>
      </c>
      <c r="AL32" s="75">
        <f t="shared" si="25"/>
        <v>0</v>
      </c>
      <c r="AM32" s="75">
        <f t="shared" si="12"/>
        <v>0</v>
      </c>
      <c r="AN32" s="75"/>
      <c r="AO32" s="75">
        <f t="shared" si="14"/>
        <v>0</v>
      </c>
      <c r="AP32" s="75">
        <f t="shared" si="25"/>
        <v>0</v>
      </c>
      <c r="AQ32" s="75">
        <f t="shared" si="25"/>
        <v>0</v>
      </c>
      <c r="AR32" s="76"/>
      <c r="AS32" s="76" t="e">
        <f>#REF!-#REF!</f>
        <v>#REF!</v>
      </c>
    </row>
    <row r="33" spans="1:45" ht="35.25" customHeight="1">
      <c r="A33" s="78" t="s">
        <v>386</v>
      </c>
      <c r="B33" s="79" t="s">
        <v>346</v>
      </c>
      <c r="C33" s="79" t="s">
        <v>368</v>
      </c>
      <c r="D33" s="80"/>
      <c r="E33" s="80"/>
      <c r="F33" s="80"/>
      <c r="G33" s="80"/>
      <c r="H33" s="80"/>
      <c r="I33" s="80"/>
      <c r="J33" s="84"/>
      <c r="K33" s="83"/>
      <c r="L33" s="83"/>
      <c r="M33" s="84"/>
      <c r="N33" s="84"/>
      <c r="O33" s="84"/>
      <c r="P33" s="84"/>
      <c r="Q33" s="84"/>
      <c r="R33" s="84">
        <v>64.599999999999994</v>
      </c>
      <c r="S33" s="84">
        <v>64.599999999999994</v>
      </c>
      <c r="T33" s="84">
        <v>64.599999999999994</v>
      </c>
      <c r="U33" s="84">
        <v>87.2</v>
      </c>
      <c r="V33" s="84">
        <v>87.2</v>
      </c>
      <c r="W33" s="84">
        <v>87.5</v>
      </c>
      <c r="X33" s="84">
        <v>87.2</v>
      </c>
      <c r="Y33" s="84">
        <v>87.2</v>
      </c>
      <c r="Z33" s="84">
        <v>87.2</v>
      </c>
      <c r="AA33" s="84">
        <f t="shared" si="2"/>
        <v>0</v>
      </c>
      <c r="AB33" s="84">
        <f t="shared" si="3"/>
        <v>100</v>
      </c>
      <c r="AC33" s="84">
        <f t="shared" si="4"/>
        <v>0</v>
      </c>
      <c r="AD33" s="84">
        <f t="shared" si="5"/>
        <v>100</v>
      </c>
      <c r="AE33" s="84"/>
      <c r="AF33" s="84">
        <f t="shared" si="7"/>
        <v>100</v>
      </c>
      <c r="AG33" s="84"/>
      <c r="AH33" s="84">
        <f t="shared" si="9"/>
        <v>87.2</v>
      </c>
      <c r="AI33" s="84"/>
      <c r="AJ33" s="84">
        <f t="shared" si="11"/>
        <v>8.2315947865307701E-2</v>
      </c>
      <c r="AK33" s="84"/>
      <c r="AL33" s="84">
        <v>0</v>
      </c>
      <c r="AM33" s="84">
        <f t="shared" si="12"/>
        <v>0</v>
      </c>
      <c r="AN33" s="84"/>
      <c r="AO33" s="84">
        <f t="shared" si="14"/>
        <v>0</v>
      </c>
      <c r="AP33" s="84"/>
      <c r="AQ33" s="84"/>
      <c r="AR33" s="85"/>
      <c r="AS33" s="85"/>
    </row>
    <row r="34" spans="1:45" ht="25.5" hidden="1" customHeight="1">
      <c r="A34" s="78" t="s">
        <v>387</v>
      </c>
      <c r="B34" s="79" t="s">
        <v>346</v>
      </c>
      <c r="C34" s="79" t="s">
        <v>346</v>
      </c>
      <c r="D34" s="79" t="s">
        <v>347</v>
      </c>
      <c r="E34" s="80">
        <v>0</v>
      </c>
      <c r="F34" s="89">
        <v>18</v>
      </c>
      <c r="G34" s="82">
        <v>0</v>
      </c>
      <c r="H34" s="82"/>
      <c r="I34" s="82"/>
      <c r="J34" s="81">
        <v>91.5</v>
      </c>
      <c r="K34" s="83"/>
      <c r="L34" s="90" t="e">
        <f>#REF!/$K$48*100</f>
        <v>#REF!</v>
      </c>
      <c r="M34" s="84"/>
      <c r="N34" s="75"/>
      <c r="O34" s="75"/>
      <c r="P34" s="75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>
        <f t="shared" si="2"/>
        <v>0</v>
      </c>
      <c r="AB34" s="84" t="e">
        <f t="shared" si="3"/>
        <v>#DIV/0!</v>
      </c>
      <c r="AC34" s="84">
        <f t="shared" si="4"/>
        <v>0</v>
      </c>
      <c r="AD34" s="84" t="e">
        <f t="shared" si="5"/>
        <v>#DIV/0!</v>
      </c>
      <c r="AE34" s="84" t="e">
        <f t="shared" si="6"/>
        <v>#DIV/0!</v>
      </c>
      <c r="AF34" s="84" t="e">
        <f t="shared" si="7"/>
        <v>#DIV/0!</v>
      </c>
      <c r="AG34" s="84" t="e">
        <f t="shared" si="8"/>
        <v>#DIV/0!</v>
      </c>
      <c r="AH34" s="84">
        <f t="shared" si="9"/>
        <v>0</v>
      </c>
      <c r="AI34" s="84" t="e">
        <f t="shared" si="10"/>
        <v>#DIV/0!</v>
      </c>
      <c r="AJ34" s="84">
        <f t="shared" si="11"/>
        <v>0</v>
      </c>
      <c r="AK34" s="84"/>
      <c r="AL34" s="84"/>
      <c r="AM34" s="84">
        <f t="shared" si="12"/>
        <v>0</v>
      </c>
      <c r="AN34" s="84" t="e">
        <f t="shared" si="13"/>
        <v>#DIV/0!</v>
      </c>
      <c r="AO34" s="84">
        <f t="shared" si="14"/>
        <v>0</v>
      </c>
      <c r="AP34" s="84"/>
      <c r="AQ34" s="84"/>
      <c r="AR34" s="85" t="e">
        <f>O34/N34*100</f>
        <v>#DIV/0!</v>
      </c>
      <c r="AS34" s="85" t="e">
        <f>#REF!-#REF!</f>
        <v>#REF!</v>
      </c>
    </row>
    <row r="35" spans="1:45" s="77" customFormat="1" ht="15.75" customHeight="1">
      <c r="A35" s="73" t="s">
        <v>388</v>
      </c>
      <c r="B35" s="74" t="s">
        <v>370</v>
      </c>
      <c r="C35" s="74"/>
      <c r="D35" s="86">
        <f t="shared" ref="D35:O35" si="26">D36+D37+D38</f>
        <v>5961.8180000000002</v>
      </c>
      <c r="E35" s="86">
        <f t="shared" si="26"/>
        <v>7382.8980000000001</v>
      </c>
      <c r="F35" s="86">
        <f t="shared" si="26"/>
        <v>6075.3189999999995</v>
      </c>
      <c r="G35" s="86">
        <f t="shared" si="26"/>
        <v>7261.7</v>
      </c>
      <c r="H35" s="86">
        <f t="shared" si="26"/>
        <v>7232.1</v>
      </c>
      <c r="I35" s="86">
        <f t="shared" si="26"/>
        <v>7412.7</v>
      </c>
      <c r="J35" s="75">
        <f t="shared" si="26"/>
        <v>7043.3</v>
      </c>
      <c r="K35" s="75">
        <f t="shared" si="26"/>
        <v>7111.8</v>
      </c>
      <c r="L35" s="75">
        <f t="shared" si="26"/>
        <v>7254.3</v>
      </c>
      <c r="M35" s="75">
        <f t="shared" si="26"/>
        <v>6875.5</v>
      </c>
      <c r="N35" s="75">
        <f t="shared" si="26"/>
        <v>6836.3</v>
      </c>
      <c r="O35" s="75">
        <f t="shared" si="26"/>
        <v>7807.2</v>
      </c>
      <c r="P35" s="75">
        <f>P36+P38</f>
        <v>9669.9</v>
      </c>
      <c r="Q35" s="75">
        <f>Q36+Q38</f>
        <v>9301.5</v>
      </c>
      <c r="R35" s="75">
        <f t="shared" ref="R35:AS35" si="27">R36+R38</f>
        <v>9342.7000000000007</v>
      </c>
      <c r="S35" s="75">
        <f t="shared" si="27"/>
        <v>3568.2</v>
      </c>
      <c r="T35" s="75">
        <f t="shared" si="27"/>
        <v>9536.7000000000007</v>
      </c>
      <c r="U35" s="75">
        <f t="shared" si="27"/>
        <v>10704.1</v>
      </c>
      <c r="V35" s="75">
        <f t="shared" si="27"/>
        <v>7545.1</v>
      </c>
      <c r="W35" s="75">
        <f t="shared" si="27"/>
        <v>10704.1</v>
      </c>
      <c r="X35" s="75">
        <f t="shared" si="27"/>
        <v>10704.9</v>
      </c>
      <c r="Y35" s="75">
        <f t="shared" si="27"/>
        <v>10704.9</v>
      </c>
      <c r="Z35" s="75">
        <f t="shared" si="27"/>
        <v>10680.9</v>
      </c>
      <c r="AA35" s="75">
        <f t="shared" si="2"/>
        <v>0</v>
      </c>
      <c r="AB35" s="75">
        <f t="shared" si="3"/>
        <v>100</v>
      </c>
      <c r="AC35" s="75">
        <f t="shared" si="4"/>
        <v>-24</v>
      </c>
      <c r="AD35" s="75">
        <f t="shared" si="5"/>
        <v>99.775803603957073</v>
      </c>
      <c r="AE35" s="75">
        <f t="shared" si="6"/>
        <v>114.82986615062087</v>
      </c>
      <c r="AF35" s="75">
        <f t="shared" si="7"/>
        <v>99.775803603957073</v>
      </c>
      <c r="AG35" s="75">
        <f t="shared" si="8"/>
        <v>110.45512363106134</v>
      </c>
      <c r="AH35" s="75">
        <f t="shared" si="9"/>
        <v>1403.3999999999996</v>
      </c>
      <c r="AI35" s="75">
        <f t="shared" si="10"/>
        <v>115.08788905015319</v>
      </c>
      <c r="AJ35" s="75">
        <f t="shared" si="11"/>
        <v>10.082665224249599</v>
      </c>
      <c r="AK35" s="75">
        <f t="shared" si="27"/>
        <v>11088.8</v>
      </c>
      <c r="AL35" s="75">
        <f t="shared" si="27"/>
        <v>11112.8</v>
      </c>
      <c r="AM35" s="75">
        <f t="shared" si="12"/>
        <v>24</v>
      </c>
      <c r="AN35" s="75">
        <f t="shared" si="13"/>
        <v>100.21643460067817</v>
      </c>
      <c r="AO35" s="75">
        <f t="shared" si="14"/>
        <v>12.378377716068565</v>
      </c>
      <c r="AP35" s="75">
        <f t="shared" si="27"/>
        <v>11088.8</v>
      </c>
      <c r="AQ35" s="75">
        <f t="shared" si="27"/>
        <v>11088.8</v>
      </c>
      <c r="AR35" s="76">
        <f t="shared" si="27"/>
        <v>9300.1</v>
      </c>
      <c r="AS35" s="76">
        <f t="shared" si="27"/>
        <v>9298.6</v>
      </c>
    </row>
    <row r="36" spans="1:45" ht="18" customHeight="1">
      <c r="A36" s="78" t="s">
        <v>389</v>
      </c>
      <c r="B36" s="79" t="s">
        <v>370</v>
      </c>
      <c r="C36" s="79" t="s">
        <v>332</v>
      </c>
      <c r="D36" s="79" t="s">
        <v>390</v>
      </c>
      <c r="E36" s="80">
        <v>6601.6</v>
      </c>
      <c r="F36" s="89">
        <f>270+2.366+144.033+130.81+7.7+5520.41</f>
        <v>6075.3189999999995</v>
      </c>
      <c r="G36" s="82">
        <v>7248.7</v>
      </c>
      <c r="H36" s="82">
        <v>7232.1</v>
      </c>
      <c r="I36" s="82">
        <v>7412.7</v>
      </c>
      <c r="J36" s="81">
        <v>7003.3</v>
      </c>
      <c r="K36" s="83">
        <v>7111.8</v>
      </c>
      <c r="L36" s="83">
        <v>7254.3</v>
      </c>
      <c r="M36" s="84">
        <v>6875.5</v>
      </c>
      <c r="N36" s="84">
        <v>6514.8</v>
      </c>
      <c r="O36" s="84">
        <v>7452.2</v>
      </c>
      <c r="P36" s="84">
        <v>9218.9</v>
      </c>
      <c r="Q36" s="84">
        <v>8927.5</v>
      </c>
      <c r="R36" s="84">
        <v>8968.7000000000007</v>
      </c>
      <c r="S36" s="84">
        <v>3194.2</v>
      </c>
      <c r="T36" s="84">
        <v>9162.7000000000007</v>
      </c>
      <c r="U36" s="84">
        <v>10280.1</v>
      </c>
      <c r="V36" s="84">
        <v>7121.1</v>
      </c>
      <c r="W36" s="84">
        <v>10280.1</v>
      </c>
      <c r="X36" s="84">
        <v>10280.9</v>
      </c>
      <c r="Y36" s="84">
        <v>10280.9</v>
      </c>
      <c r="Z36" s="84">
        <v>10256.9</v>
      </c>
      <c r="AA36" s="84">
        <f t="shared" si="2"/>
        <v>0</v>
      </c>
      <c r="AB36" s="84">
        <f t="shared" si="3"/>
        <v>100</v>
      </c>
      <c r="AC36" s="84">
        <f t="shared" si="4"/>
        <v>-24</v>
      </c>
      <c r="AD36" s="84">
        <f t="shared" si="5"/>
        <v>99.766557402562029</v>
      </c>
      <c r="AE36" s="84">
        <f t="shared" si="6"/>
        <v>114.89106692803135</v>
      </c>
      <c r="AF36" s="84">
        <f t="shared" si="7"/>
        <v>99.766557402562029</v>
      </c>
      <c r="AG36" s="84">
        <f t="shared" si="8"/>
        <v>111.25947781188646</v>
      </c>
      <c r="AH36" s="84">
        <f t="shared" si="9"/>
        <v>1353.3999999999996</v>
      </c>
      <c r="AI36" s="84">
        <f t="shared" si="10"/>
        <v>115.15989918790255</v>
      </c>
      <c r="AJ36" s="84">
        <f t="shared" si="11"/>
        <v>9.6824133676568174</v>
      </c>
      <c r="AK36" s="84">
        <v>10720.3</v>
      </c>
      <c r="AL36" s="84">
        <v>10744.3</v>
      </c>
      <c r="AM36" s="84">
        <f t="shared" si="12"/>
        <v>24</v>
      </c>
      <c r="AN36" s="84">
        <f t="shared" si="13"/>
        <v>100.22387433187505</v>
      </c>
      <c r="AO36" s="84">
        <f t="shared" si="14"/>
        <v>11.96791121002407</v>
      </c>
      <c r="AP36" s="84">
        <v>10720.3</v>
      </c>
      <c r="AQ36" s="84">
        <v>10720.3</v>
      </c>
      <c r="AR36" s="85">
        <v>8926.1</v>
      </c>
      <c r="AS36" s="85">
        <v>8924.6</v>
      </c>
    </row>
    <row r="37" spans="1:45" ht="15.75" hidden="1" customHeight="1">
      <c r="A37" s="88" t="s">
        <v>391</v>
      </c>
      <c r="B37" s="79" t="s">
        <v>370</v>
      </c>
      <c r="C37" s="79" t="s">
        <v>338</v>
      </c>
      <c r="D37" s="79" t="s">
        <v>392</v>
      </c>
      <c r="E37" s="80">
        <v>208.09800000000001</v>
      </c>
      <c r="F37" s="89">
        <v>0</v>
      </c>
      <c r="G37" s="82"/>
      <c r="H37" s="82"/>
      <c r="I37" s="82"/>
      <c r="J37" s="81"/>
      <c r="K37" s="83"/>
      <c r="L37" s="83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>
        <f t="shared" si="2"/>
        <v>0</v>
      </c>
      <c r="AB37" s="84" t="e">
        <f t="shared" si="3"/>
        <v>#DIV/0!</v>
      </c>
      <c r="AC37" s="84">
        <f t="shared" si="4"/>
        <v>0</v>
      </c>
      <c r="AD37" s="84" t="e">
        <f t="shared" si="5"/>
        <v>#DIV/0!</v>
      </c>
      <c r="AE37" s="84" t="e">
        <f t="shared" si="6"/>
        <v>#DIV/0!</v>
      </c>
      <c r="AF37" s="84" t="e">
        <f t="shared" si="7"/>
        <v>#DIV/0!</v>
      </c>
      <c r="AG37" s="84" t="e">
        <f t="shared" si="8"/>
        <v>#DIV/0!</v>
      </c>
      <c r="AH37" s="84">
        <f t="shared" si="9"/>
        <v>0</v>
      </c>
      <c r="AI37" s="84" t="e">
        <f t="shared" si="10"/>
        <v>#DIV/0!</v>
      </c>
      <c r="AJ37" s="84">
        <f t="shared" si="11"/>
        <v>0</v>
      </c>
      <c r="AK37" s="84"/>
      <c r="AL37" s="84"/>
      <c r="AM37" s="84">
        <f t="shared" si="12"/>
        <v>0</v>
      </c>
      <c r="AN37" s="84" t="e">
        <f t="shared" si="13"/>
        <v>#DIV/0!</v>
      </c>
      <c r="AO37" s="84">
        <f t="shared" si="14"/>
        <v>0</v>
      </c>
      <c r="AP37" s="84"/>
      <c r="AQ37" s="84"/>
      <c r="AR37" s="85"/>
      <c r="AS37" s="85"/>
    </row>
    <row r="38" spans="1:45" ht="22.5" customHeight="1">
      <c r="A38" s="88" t="s">
        <v>393</v>
      </c>
      <c r="B38" s="79" t="s">
        <v>370</v>
      </c>
      <c r="C38" s="79" t="s">
        <v>341</v>
      </c>
      <c r="D38" s="79" t="s">
        <v>347</v>
      </c>
      <c r="E38" s="80">
        <v>573.20000000000005</v>
      </c>
      <c r="F38" s="89">
        <v>0</v>
      </c>
      <c r="G38" s="82">
        <v>13</v>
      </c>
      <c r="H38" s="82"/>
      <c r="I38" s="82"/>
      <c r="J38" s="81">
        <v>40</v>
      </c>
      <c r="K38" s="83"/>
      <c r="L38" s="83"/>
      <c r="M38" s="84"/>
      <c r="N38" s="84">
        <v>321.5</v>
      </c>
      <c r="O38" s="84">
        <v>355</v>
      </c>
      <c r="P38" s="84">
        <v>451</v>
      </c>
      <c r="Q38" s="84">
        <v>374</v>
      </c>
      <c r="R38" s="84">
        <v>374</v>
      </c>
      <c r="S38" s="84">
        <v>374</v>
      </c>
      <c r="T38" s="84">
        <v>374</v>
      </c>
      <c r="U38" s="84">
        <v>424</v>
      </c>
      <c r="V38" s="84">
        <v>424</v>
      </c>
      <c r="W38" s="84">
        <v>424</v>
      </c>
      <c r="X38" s="84">
        <v>424</v>
      </c>
      <c r="Y38" s="84">
        <v>424</v>
      </c>
      <c r="Z38" s="84">
        <v>424</v>
      </c>
      <c r="AA38" s="84">
        <f t="shared" si="2"/>
        <v>0</v>
      </c>
      <c r="AB38" s="84">
        <f t="shared" si="3"/>
        <v>100</v>
      </c>
      <c r="AC38" s="84">
        <f t="shared" si="4"/>
        <v>0</v>
      </c>
      <c r="AD38" s="84">
        <f t="shared" si="5"/>
        <v>100</v>
      </c>
      <c r="AE38" s="84">
        <f t="shared" si="6"/>
        <v>113.36898395721926</v>
      </c>
      <c r="AF38" s="84">
        <f t="shared" si="7"/>
        <v>100</v>
      </c>
      <c r="AG38" s="84">
        <f t="shared" si="8"/>
        <v>94.013303769401332</v>
      </c>
      <c r="AH38" s="84">
        <f t="shared" si="9"/>
        <v>50</v>
      </c>
      <c r="AI38" s="84">
        <f t="shared" si="10"/>
        <v>113.36898395721926</v>
      </c>
      <c r="AJ38" s="84">
        <f t="shared" si="11"/>
        <v>0.40025185659278056</v>
      </c>
      <c r="AK38" s="84">
        <v>368.5</v>
      </c>
      <c r="AL38" s="84">
        <v>368.5</v>
      </c>
      <c r="AM38" s="84">
        <f t="shared" si="12"/>
        <v>0</v>
      </c>
      <c r="AN38" s="84">
        <f t="shared" si="13"/>
        <v>100</v>
      </c>
      <c r="AO38" s="84">
        <f t="shared" si="14"/>
        <v>0.41046650604449525</v>
      </c>
      <c r="AP38" s="84">
        <v>368.5</v>
      </c>
      <c r="AQ38" s="84">
        <v>368.5</v>
      </c>
      <c r="AR38" s="85">
        <v>374</v>
      </c>
      <c r="AS38" s="85">
        <v>374</v>
      </c>
    </row>
    <row r="39" spans="1:45" s="77" customFormat="1" ht="15.75" customHeight="1">
      <c r="A39" s="99" t="s">
        <v>394</v>
      </c>
      <c r="B39" s="74" t="s">
        <v>359</v>
      </c>
      <c r="C39" s="74"/>
      <c r="D39" s="74"/>
      <c r="E39" s="86"/>
      <c r="F39" s="94"/>
      <c r="G39" s="95"/>
      <c r="H39" s="95"/>
      <c r="I39" s="95"/>
      <c r="J39" s="96"/>
      <c r="K39" s="90"/>
      <c r="L39" s="90"/>
      <c r="M39" s="90">
        <f>M40</f>
        <v>158</v>
      </c>
      <c r="N39" s="75"/>
      <c r="O39" s="75"/>
      <c r="P39" s="75">
        <f>P40</f>
        <v>589.9</v>
      </c>
      <c r="Q39" s="75"/>
      <c r="R39" s="75"/>
      <c r="S39" s="75"/>
      <c r="T39" s="75">
        <f t="shared" ref="T39:Z39" si="28">T40</f>
        <v>840</v>
      </c>
      <c r="U39" s="75">
        <f t="shared" si="28"/>
        <v>840</v>
      </c>
      <c r="V39" s="75">
        <f t="shared" si="28"/>
        <v>0</v>
      </c>
      <c r="W39" s="75">
        <f t="shared" si="28"/>
        <v>840</v>
      </c>
      <c r="X39" s="75">
        <f t="shared" si="28"/>
        <v>840</v>
      </c>
      <c r="Y39" s="75">
        <f t="shared" si="28"/>
        <v>840</v>
      </c>
      <c r="Z39" s="75">
        <f t="shared" si="28"/>
        <v>840</v>
      </c>
      <c r="AA39" s="75">
        <f t="shared" si="2"/>
        <v>0</v>
      </c>
      <c r="AB39" s="75">
        <f t="shared" si="3"/>
        <v>100</v>
      </c>
      <c r="AC39" s="75">
        <f t="shared" si="4"/>
        <v>0</v>
      </c>
      <c r="AD39" s="75">
        <f t="shared" si="5"/>
        <v>100</v>
      </c>
      <c r="AE39" s="75"/>
      <c r="AF39" s="75">
        <f t="shared" si="7"/>
        <v>100</v>
      </c>
      <c r="AG39" s="75">
        <f t="shared" si="8"/>
        <v>142.39701644346502</v>
      </c>
      <c r="AH39" s="75">
        <f t="shared" si="9"/>
        <v>840</v>
      </c>
      <c r="AI39" s="75"/>
      <c r="AJ39" s="75">
        <f t="shared" si="11"/>
        <v>0.79295179136305571</v>
      </c>
      <c r="AK39" s="75">
        <f>AK40</f>
        <v>840</v>
      </c>
      <c r="AL39" s="75">
        <f>AL40</f>
        <v>840</v>
      </c>
      <c r="AM39" s="75">
        <f t="shared" si="12"/>
        <v>0</v>
      </c>
      <c r="AN39" s="75">
        <f t="shared" si="13"/>
        <v>100</v>
      </c>
      <c r="AO39" s="75">
        <f t="shared" si="14"/>
        <v>0.93566313453833394</v>
      </c>
      <c r="AP39" s="75">
        <f>AP40</f>
        <v>840</v>
      </c>
      <c r="AQ39" s="75">
        <f>AQ40</f>
        <v>840</v>
      </c>
      <c r="AR39" s="76"/>
      <c r="AS39" s="76"/>
    </row>
    <row r="40" spans="1:45" ht="24" customHeight="1">
      <c r="A40" s="88" t="s">
        <v>395</v>
      </c>
      <c r="B40" s="79" t="s">
        <v>359</v>
      </c>
      <c r="C40" s="79" t="s">
        <v>346</v>
      </c>
      <c r="D40" s="79"/>
      <c r="E40" s="80"/>
      <c r="F40" s="89"/>
      <c r="G40" s="82"/>
      <c r="H40" s="82"/>
      <c r="I40" s="82"/>
      <c r="J40" s="81"/>
      <c r="K40" s="83"/>
      <c r="L40" s="83"/>
      <c r="M40" s="84">
        <v>158</v>
      </c>
      <c r="N40" s="84"/>
      <c r="O40" s="84"/>
      <c r="P40" s="84">
        <v>589.9</v>
      </c>
      <c r="Q40" s="84"/>
      <c r="R40" s="84"/>
      <c r="S40" s="84"/>
      <c r="T40" s="84">
        <v>840</v>
      </c>
      <c r="U40" s="84">
        <v>840</v>
      </c>
      <c r="V40" s="84"/>
      <c r="W40" s="84">
        <v>840</v>
      </c>
      <c r="X40" s="84">
        <v>840</v>
      </c>
      <c r="Y40" s="84">
        <v>840</v>
      </c>
      <c r="Z40" s="84">
        <v>840</v>
      </c>
      <c r="AA40" s="84">
        <f t="shared" si="2"/>
        <v>0</v>
      </c>
      <c r="AB40" s="84">
        <f t="shared" si="3"/>
        <v>100</v>
      </c>
      <c r="AC40" s="84">
        <f t="shared" si="4"/>
        <v>0</v>
      </c>
      <c r="AD40" s="84">
        <f t="shared" si="5"/>
        <v>100</v>
      </c>
      <c r="AE40" s="84"/>
      <c r="AF40" s="84">
        <f t="shared" si="7"/>
        <v>100</v>
      </c>
      <c r="AG40" s="84">
        <f t="shared" si="8"/>
        <v>142.39701644346502</v>
      </c>
      <c r="AH40" s="84">
        <f t="shared" si="9"/>
        <v>840</v>
      </c>
      <c r="AI40" s="84"/>
      <c r="AJ40" s="84">
        <f t="shared" si="11"/>
        <v>0.79295179136305571</v>
      </c>
      <c r="AK40" s="84">
        <v>840</v>
      </c>
      <c r="AL40" s="84">
        <v>840</v>
      </c>
      <c r="AM40" s="84">
        <f t="shared" si="12"/>
        <v>0</v>
      </c>
      <c r="AN40" s="84">
        <f t="shared" si="13"/>
        <v>100</v>
      </c>
      <c r="AO40" s="84">
        <f t="shared" si="14"/>
        <v>0.93566313453833394</v>
      </c>
      <c r="AP40" s="84">
        <v>840</v>
      </c>
      <c r="AQ40" s="84">
        <v>840</v>
      </c>
      <c r="AR40" s="85"/>
      <c r="AS40" s="85" t="e">
        <f>#REF!-#REF!</f>
        <v>#REF!</v>
      </c>
    </row>
    <row r="41" spans="1:45" s="77" customFormat="1" ht="15.75" customHeight="1">
      <c r="A41" s="99" t="s">
        <v>396</v>
      </c>
      <c r="B41" s="74" t="s">
        <v>334</v>
      </c>
      <c r="C41" s="74"/>
      <c r="D41" s="75">
        <f t="shared" ref="D41:O41" si="29">D42</f>
        <v>0</v>
      </c>
      <c r="E41" s="75">
        <f t="shared" si="29"/>
        <v>0</v>
      </c>
      <c r="F41" s="86">
        <f t="shared" si="29"/>
        <v>0</v>
      </c>
      <c r="G41" s="86">
        <f t="shared" si="29"/>
        <v>42.4</v>
      </c>
      <c r="H41" s="86">
        <f t="shared" si="29"/>
        <v>132.9</v>
      </c>
      <c r="I41" s="86">
        <f t="shared" si="29"/>
        <v>123.2</v>
      </c>
      <c r="J41" s="75">
        <f t="shared" si="29"/>
        <v>137.69999999999999</v>
      </c>
      <c r="K41" s="75">
        <f t="shared" si="29"/>
        <v>197</v>
      </c>
      <c r="L41" s="75">
        <f t="shared" si="29"/>
        <v>240</v>
      </c>
      <c r="M41" s="75">
        <f t="shared" si="29"/>
        <v>240</v>
      </c>
      <c r="N41" s="75">
        <f t="shared" si="29"/>
        <v>240</v>
      </c>
      <c r="O41" s="75">
        <f t="shared" si="29"/>
        <v>240</v>
      </c>
      <c r="P41" s="75">
        <f>P42</f>
        <v>702.7</v>
      </c>
      <c r="Q41" s="75">
        <f>Q42</f>
        <v>240</v>
      </c>
      <c r="R41" s="75">
        <f t="shared" ref="R41:AS41" si="30">R42</f>
        <v>336</v>
      </c>
      <c r="S41" s="75">
        <f t="shared" si="30"/>
        <v>214.8</v>
      </c>
      <c r="T41" s="75">
        <f t="shared" si="30"/>
        <v>446.6</v>
      </c>
      <c r="U41" s="75">
        <f t="shared" si="30"/>
        <v>860</v>
      </c>
      <c r="V41" s="75">
        <f t="shared" si="30"/>
        <v>644.5</v>
      </c>
      <c r="W41" s="75">
        <f t="shared" si="30"/>
        <v>860</v>
      </c>
      <c r="X41" s="75">
        <f t="shared" si="30"/>
        <v>859.2</v>
      </c>
      <c r="Y41" s="75">
        <f t="shared" si="30"/>
        <v>859.2</v>
      </c>
      <c r="Z41" s="75">
        <f t="shared" si="30"/>
        <v>859.2</v>
      </c>
      <c r="AA41" s="75">
        <f t="shared" si="2"/>
        <v>0</v>
      </c>
      <c r="AB41" s="75">
        <f t="shared" si="3"/>
        <v>100</v>
      </c>
      <c r="AC41" s="75">
        <f t="shared" si="4"/>
        <v>0</v>
      </c>
      <c r="AD41" s="75">
        <f t="shared" si="5"/>
        <v>100</v>
      </c>
      <c r="AE41" s="75">
        <f t="shared" si="6"/>
        <v>358</v>
      </c>
      <c r="AF41" s="75">
        <f t="shared" si="7"/>
        <v>100</v>
      </c>
      <c r="AG41" s="75">
        <f t="shared" si="8"/>
        <v>122.27123950476732</v>
      </c>
      <c r="AH41" s="75">
        <f t="shared" si="9"/>
        <v>619.20000000000005</v>
      </c>
      <c r="AI41" s="75">
        <f t="shared" si="10"/>
        <v>358</v>
      </c>
      <c r="AJ41" s="75">
        <f t="shared" si="11"/>
        <v>0.81107640373706857</v>
      </c>
      <c r="AK41" s="75">
        <f t="shared" si="30"/>
        <v>336</v>
      </c>
      <c r="AL41" s="75">
        <f t="shared" si="30"/>
        <v>885</v>
      </c>
      <c r="AM41" s="75">
        <f t="shared" si="12"/>
        <v>549</v>
      </c>
      <c r="AN41" s="75">
        <f t="shared" si="13"/>
        <v>263.39285714285717</v>
      </c>
      <c r="AO41" s="75">
        <f t="shared" si="14"/>
        <v>0.98578794531717306</v>
      </c>
      <c r="AP41" s="75">
        <f t="shared" si="30"/>
        <v>336</v>
      </c>
      <c r="AQ41" s="75">
        <f t="shared" si="30"/>
        <v>336</v>
      </c>
      <c r="AR41" s="76">
        <f t="shared" si="30"/>
        <v>240</v>
      </c>
      <c r="AS41" s="76">
        <f t="shared" si="30"/>
        <v>240</v>
      </c>
    </row>
    <row r="42" spans="1:45" ht="15.75" customHeight="1">
      <c r="A42" s="88" t="s">
        <v>397</v>
      </c>
      <c r="B42" s="79" t="s">
        <v>334</v>
      </c>
      <c r="C42" s="79" t="s">
        <v>332</v>
      </c>
      <c r="D42" s="100">
        <v>0</v>
      </c>
      <c r="E42" s="100">
        <v>0</v>
      </c>
      <c r="F42" s="89">
        <v>0</v>
      </c>
      <c r="G42" s="82">
        <v>42.4</v>
      </c>
      <c r="H42" s="82">
        <v>132.9</v>
      </c>
      <c r="I42" s="82">
        <v>123.2</v>
      </c>
      <c r="J42" s="81">
        <v>137.69999999999999</v>
      </c>
      <c r="K42" s="83">
        <v>197</v>
      </c>
      <c r="L42" s="83">
        <v>240</v>
      </c>
      <c r="M42" s="84">
        <v>240</v>
      </c>
      <c r="N42" s="84">
        <v>240</v>
      </c>
      <c r="O42" s="84">
        <v>240</v>
      </c>
      <c r="P42" s="84">
        <v>702.7</v>
      </c>
      <c r="Q42" s="84">
        <v>240</v>
      </c>
      <c r="R42" s="84">
        <v>336</v>
      </c>
      <c r="S42" s="84">
        <v>214.8</v>
      </c>
      <c r="T42" s="84">
        <v>446.6</v>
      </c>
      <c r="U42" s="84">
        <v>860</v>
      </c>
      <c r="V42" s="84">
        <v>644.5</v>
      </c>
      <c r="W42" s="84">
        <v>860</v>
      </c>
      <c r="X42" s="84">
        <v>859.2</v>
      </c>
      <c r="Y42" s="84">
        <v>859.2</v>
      </c>
      <c r="Z42" s="84">
        <v>859.2</v>
      </c>
      <c r="AA42" s="84">
        <f t="shared" si="2"/>
        <v>0</v>
      </c>
      <c r="AB42" s="84">
        <f t="shared" si="3"/>
        <v>100</v>
      </c>
      <c r="AC42" s="84">
        <f t="shared" si="4"/>
        <v>0</v>
      </c>
      <c r="AD42" s="84">
        <f t="shared" si="5"/>
        <v>100</v>
      </c>
      <c r="AE42" s="84">
        <f t="shared" si="6"/>
        <v>358</v>
      </c>
      <c r="AF42" s="84">
        <f t="shared" si="7"/>
        <v>100</v>
      </c>
      <c r="AG42" s="84">
        <f t="shared" si="8"/>
        <v>122.27123950476732</v>
      </c>
      <c r="AH42" s="84">
        <f t="shared" si="9"/>
        <v>619.20000000000005</v>
      </c>
      <c r="AI42" s="84">
        <f t="shared" si="10"/>
        <v>358</v>
      </c>
      <c r="AJ42" s="84">
        <f t="shared" si="11"/>
        <v>0.81107640373706857</v>
      </c>
      <c r="AK42" s="84">
        <v>336</v>
      </c>
      <c r="AL42" s="84">
        <v>885</v>
      </c>
      <c r="AM42" s="84">
        <f t="shared" si="12"/>
        <v>549</v>
      </c>
      <c r="AN42" s="84">
        <f t="shared" si="13"/>
        <v>263.39285714285717</v>
      </c>
      <c r="AO42" s="84">
        <f t="shared" si="14"/>
        <v>0.98578794531717306</v>
      </c>
      <c r="AP42" s="84">
        <v>336</v>
      </c>
      <c r="AQ42" s="84">
        <v>336</v>
      </c>
      <c r="AR42" s="85">
        <v>240</v>
      </c>
      <c r="AS42" s="85">
        <v>240</v>
      </c>
    </row>
    <row r="43" spans="1:45" s="77" customFormat="1" ht="20.25" customHeight="1">
      <c r="A43" s="73" t="s">
        <v>398</v>
      </c>
      <c r="B43" s="74" t="s">
        <v>349</v>
      </c>
      <c r="C43" s="74"/>
      <c r="D43" s="101">
        <f t="shared" ref="D43:K43" si="31">D44+D45</f>
        <v>34.375999999999998</v>
      </c>
      <c r="E43" s="101">
        <f t="shared" si="31"/>
        <v>103.78</v>
      </c>
      <c r="F43" s="86">
        <f t="shared" si="31"/>
        <v>102</v>
      </c>
      <c r="G43" s="86">
        <f t="shared" si="31"/>
        <v>145</v>
      </c>
      <c r="H43" s="86">
        <f t="shared" si="31"/>
        <v>102</v>
      </c>
      <c r="I43" s="86">
        <f t="shared" si="31"/>
        <v>99</v>
      </c>
      <c r="J43" s="75">
        <f t="shared" si="31"/>
        <v>95</v>
      </c>
      <c r="K43" s="75">
        <f t="shared" si="31"/>
        <v>94</v>
      </c>
      <c r="L43" s="75">
        <f>L44</f>
        <v>68</v>
      </c>
      <c r="M43" s="75">
        <f>M44+M45</f>
        <v>68</v>
      </c>
      <c r="N43" s="75">
        <f>N44+N45</f>
        <v>67</v>
      </c>
      <c r="O43" s="75">
        <f>O44+O45</f>
        <v>67</v>
      </c>
      <c r="P43" s="75">
        <f>P44+P45</f>
        <v>16330.2</v>
      </c>
      <c r="Q43" s="75">
        <f>Q44+Q45</f>
        <v>64.599999999999994</v>
      </c>
      <c r="R43" s="75">
        <f t="shared" ref="R43:AQ43" si="32">R44+R45</f>
        <v>64.599999999999994</v>
      </c>
      <c r="S43" s="75">
        <f t="shared" si="32"/>
        <v>22</v>
      </c>
      <c r="T43" s="75">
        <f t="shared" si="32"/>
        <v>10064</v>
      </c>
      <c r="U43" s="75">
        <f t="shared" si="32"/>
        <v>10064</v>
      </c>
      <c r="V43" s="75">
        <f t="shared" si="32"/>
        <v>53.6</v>
      </c>
      <c r="W43" s="75">
        <f t="shared" si="32"/>
        <v>10064</v>
      </c>
      <c r="X43" s="75">
        <f t="shared" si="32"/>
        <v>10064</v>
      </c>
      <c r="Y43" s="75">
        <f t="shared" si="32"/>
        <v>10064</v>
      </c>
      <c r="Z43" s="75">
        <f t="shared" si="32"/>
        <v>5160.3</v>
      </c>
      <c r="AA43" s="75">
        <f t="shared" si="2"/>
        <v>0</v>
      </c>
      <c r="AB43" s="75">
        <f t="shared" si="3"/>
        <v>100</v>
      </c>
      <c r="AC43" s="75">
        <f t="shared" si="4"/>
        <v>-4903.7</v>
      </c>
      <c r="AD43" s="75">
        <f t="shared" si="5"/>
        <v>51.274841017488079</v>
      </c>
      <c r="AE43" s="75">
        <f t="shared" si="6"/>
        <v>7988.0804953560382</v>
      </c>
      <c r="AF43" s="75">
        <f t="shared" si="7"/>
        <v>51.274841017488079</v>
      </c>
      <c r="AG43" s="75">
        <f t="shared" si="8"/>
        <v>31.599735459455484</v>
      </c>
      <c r="AH43" s="75">
        <f t="shared" si="9"/>
        <v>9999.4</v>
      </c>
      <c r="AI43" s="75">
        <f t="shared" si="10"/>
        <v>15578.947368421055</v>
      </c>
      <c r="AJ43" s="75">
        <f t="shared" si="11"/>
        <v>4.8712727725842582</v>
      </c>
      <c r="AK43" s="75">
        <f t="shared" si="32"/>
        <v>64.8</v>
      </c>
      <c r="AL43" s="75">
        <f t="shared" si="32"/>
        <v>64.8</v>
      </c>
      <c r="AM43" s="84">
        <f t="shared" si="12"/>
        <v>0</v>
      </c>
      <c r="AN43" s="84">
        <f t="shared" si="13"/>
        <v>100</v>
      </c>
      <c r="AO43" s="84">
        <f t="shared" si="14"/>
        <v>7.2179727521528597E-2</v>
      </c>
      <c r="AP43" s="75">
        <f t="shared" si="32"/>
        <v>64.8</v>
      </c>
      <c r="AQ43" s="75">
        <f t="shared" si="32"/>
        <v>64.8</v>
      </c>
      <c r="AR43" s="76">
        <f>AR44+AR45</f>
        <v>64.599999999999994</v>
      </c>
      <c r="AS43" s="76">
        <f>AS44+AS45</f>
        <v>64.599999999999994</v>
      </c>
    </row>
    <row r="44" spans="1:45" ht="15" hidden="1" customHeight="1">
      <c r="A44" s="78" t="s">
        <v>399</v>
      </c>
      <c r="B44" s="79" t="s">
        <v>349</v>
      </c>
      <c r="C44" s="79" t="s">
        <v>332</v>
      </c>
      <c r="D44" s="79" t="s">
        <v>400</v>
      </c>
      <c r="E44" s="80">
        <v>88.78</v>
      </c>
      <c r="F44" s="89">
        <v>77</v>
      </c>
      <c r="G44" s="82">
        <v>145</v>
      </c>
      <c r="H44" s="82">
        <v>102</v>
      </c>
      <c r="I44" s="82">
        <v>99</v>
      </c>
      <c r="J44" s="81">
        <v>95</v>
      </c>
      <c r="K44" s="83">
        <v>94</v>
      </c>
      <c r="L44" s="83">
        <v>68</v>
      </c>
      <c r="M44" s="84">
        <v>68</v>
      </c>
      <c r="N44" s="84">
        <v>67</v>
      </c>
      <c r="O44" s="84">
        <v>67</v>
      </c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>
        <f t="shared" si="2"/>
        <v>0</v>
      </c>
      <c r="AB44" s="84" t="e">
        <f t="shared" si="3"/>
        <v>#DIV/0!</v>
      </c>
      <c r="AC44" s="84">
        <f t="shared" si="4"/>
        <v>0</v>
      </c>
      <c r="AD44" s="84" t="e">
        <f t="shared" si="5"/>
        <v>#DIV/0!</v>
      </c>
      <c r="AE44" s="84" t="e">
        <f t="shared" si="6"/>
        <v>#DIV/0!</v>
      </c>
      <c r="AF44" s="84" t="e">
        <f t="shared" si="7"/>
        <v>#DIV/0!</v>
      </c>
      <c r="AG44" s="84" t="e">
        <f t="shared" si="8"/>
        <v>#DIV/0!</v>
      </c>
      <c r="AH44" s="84">
        <f t="shared" si="9"/>
        <v>0</v>
      </c>
      <c r="AI44" s="84" t="e">
        <f t="shared" si="10"/>
        <v>#DIV/0!</v>
      </c>
      <c r="AJ44" s="84">
        <f t="shared" si="11"/>
        <v>0</v>
      </c>
      <c r="AK44" s="84"/>
      <c r="AL44" s="84"/>
      <c r="AM44" s="84">
        <f t="shared" si="12"/>
        <v>0</v>
      </c>
      <c r="AN44" s="84" t="e">
        <f t="shared" si="13"/>
        <v>#DIV/0!</v>
      </c>
      <c r="AO44" s="84">
        <f t="shared" si="14"/>
        <v>0</v>
      </c>
      <c r="AP44" s="84"/>
      <c r="AQ44" s="84"/>
      <c r="AR44" s="85"/>
      <c r="AS44" s="85"/>
    </row>
    <row r="45" spans="1:45" ht="15.75" customHeight="1">
      <c r="A45" s="102" t="s">
        <v>401</v>
      </c>
      <c r="B45" s="79" t="s">
        <v>349</v>
      </c>
      <c r="C45" s="79" t="s">
        <v>338</v>
      </c>
      <c r="D45" s="79" t="s">
        <v>347</v>
      </c>
      <c r="E45" s="80">
        <v>15</v>
      </c>
      <c r="F45" s="89">
        <v>25</v>
      </c>
      <c r="G45" s="82"/>
      <c r="H45" s="82"/>
      <c r="I45" s="82"/>
      <c r="J45" s="81"/>
      <c r="K45" s="83"/>
      <c r="L45" s="83" t="e">
        <f>#REF!/$K$48*100</f>
        <v>#REF!</v>
      </c>
      <c r="M45" s="84"/>
      <c r="N45" s="84"/>
      <c r="O45" s="84"/>
      <c r="P45" s="84">
        <v>16330.2</v>
      </c>
      <c r="Q45" s="84">
        <v>64.599999999999994</v>
      </c>
      <c r="R45" s="84">
        <v>64.599999999999994</v>
      </c>
      <c r="S45" s="84">
        <v>22</v>
      </c>
      <c r="T45" s="84">
        <v>10064</v>
      </c>
      <c r="U45" s="84">
        <v>10064</v>
      </c>
      <c r="V45" s="84">
        <v>53.6</v>
      </c>
      <c r="W45" s="84">
        <v>10064</v>
      </c>
      <c r="X45" s="84">
        <v>10064</v>
      </c>
      <c r="Y45" s="84">
        <v>10064</v>
      </c>
      <c r="Z45" s="84">
        <v>5160.3</v>
      </c>
      <c r="AA45" s="84">
        <f t="shared" si="2"/>
        <v>0</v>
      </c>
      <c r="AB45" s="84">
        <f t="shared" si="3"/>
        <v>100</v>
      </c>
      <c r="AC45" s="84">
        <f t="shared" si="4"/>
        <v>-4903.7</v>
      </c>
      <c r="AD45" s="84">
        <f t="shared" si="5"/>
        <v>51.274841017488079</v>
      </c>
      <c r="AE45" s="84">
        <f t="shared" si="6"/>
        <v>7988.0804953560382</v>
      </c>
      <c r="AF45" s="84">
        <f t="shared" si="7"/>
        <v>51.274841017488079</v>
      </c>
      <c r="AG45" s="84">
        <f t="shared" si="8"/>
        <v>31.599735459455484</v>
      </c>
      <c r="AH45" s="84">
        <f t="shared" si="9"/>
        <v>9999.4</v>
      </c>
      <c r="AI45" s="84">
        <f t="shared" si="10"/>
        <v>15578.947368421055</v>
      </c>
      <c r="AJ45" s="84">
        <f t="shared" si="11"/>
        <v>4.8712727725842582</v>
      </c>
      <c r="AK45" s="84">
        <v>64.8</v>
      </c>
      <c r="AL45" s="84">
        <v>64.8</v>
      </c>
      <c r="AM45" s="84">
        <f t="shared" si="12"/>
        <v>0</v>
      </c>
      <c r="AN45" s="84">
        <f t="shared" si="13"/>
        <v>100</v>
      </c>
      <c r="AO45" s="84">
        <f t="shared" si="14"/>
        <v>7.2179727521528597E-2</v>
      </c>
      <c r="AP45" s="84">
        <v>64.8</v>
      </c>
      <c r="AQ45" s="84">
        <v>64.8</v>
      </c>
      <c r="AR45" s="85">
        <v>64.599999999999994</v>
      </c>
      <c r="AS45" s="85">
        <v>64.599999999999994</v>
      </c>
    </row>
    <row r="46" spans="1:45" ht="15.75" hidden="1" customHeight="1">
      <c r="A46" s="103" t="s">
        <v>402</v>
      </c>
      <c r="B46" s="104">
        <v>14</v>
      </c>
      <c r="C46" s="79"/>
      <c r="D46" s="80" t="str">
        <f>D47</f>
        <v>0</v>
      </c>
      <c r="E46" s="80">
        <f>E47</f>
        <v>59.262999999999998</v>
      </c>
      <c r="F46" s="80">
        <f>F47</f>
        <v>1942.8</v>
      </c>
      <c r="G46" s="80">
        <f>G47</f>
        <v>863.7</v>
      </c>
      <c r="H46" s="80"/>
      <c r="I46" s="80"/>
      <c r="J46" s="84" t="e">
        <f>J47+J48+#REF!+#REF!+#REF!</f>
        <v>#REF!</v>
      </c>
      <c r="K46" s="83"/>
      <c r="L46" s="90" t="e">
        <f>#REF!/$K$48*100</f>
        <v>#REF!</v>
      </c>
      <c r="M46" s="84"/>
      <c r="N46" s="84"/>
      <c r="O46" s="75"/>
      <c r="P46" s="75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>
        <f t="shared" si="2"/>
        <v>0</v>
      </c>
      <c r="AB46" s="84" t="e">
        <f t="shared" si="3"/>
        <v>#DIV/0!</v>
      </c>
      <c r="AC46" s="84">
        <f t="shared" si="4"/>
        <v>0</v>
      </c>
      <c r="AD46" s="84" t="e">
        <f t="shared" si="5"/>
        <v>#DIV/0!</v>
      </c>
      <c r="AE46" s="84" t="e">
        <f t="shared" si="6"/>
        <v>#DIV/0!</v>
      </c>
      <c r="AF46" s="84" t="e">
        <f t="shared" si="7"/>
        <v>#DIV/0!</v>
      </c>
      <c r="AG46" s="84" t="e">
        <f t="shared" si="8"/>
        <v>#DIV/0!</v>
      </c>
      <c r="AH46" s="84">
        <f t="shared" si="9"/>
        <v>0</v>
      </c>
      <c r="AI46" s="84" t="e">
        <f t="shared" si="10"/>
        <v>#DIV/0!</v>
      </c>
      <c r="AJ46" s="84">
        <f t="shared" si="11"/>
        <v>0</v>
      </c>
      <c r="AK46" s="84"/>
      <c r="AL46" s="84"/>
      <c r="AM46" s="84">
        <f t="shared" si="12"/>
        <v>0</v>
      </c>
      <c r="AN46" s="84" t="e">
        <f t="shared" si="13"/>
        <v>#DIV/0!</v>
      </c>
      <c r="AO46" s="84">
        <f t="shared" si="14"/>
        <v>0</v>
      </c>
      <c r="AP46" s="84"/>
      <c r="AQ46" s="84"/>
      <c r="AR46" s="85"/>
      <c r="AS46" s="85"/>
    </row>
    <row r="47" spans="1:45" ht="15.75" hidden="1" customHeight="1">
      <c r="A47" s="105" t="s">
        <v>403</v>
      </c>
      <c r="B47" s="104">
        <v>14</v>
      </c>
      <c r="C47" s="79" t="s">
        <v>333</v>
      </c>
      <c r="D47" s="79" t="s">
        <v>347</v>
      </c>
      <c r="E47" s="80">
        <v>59.262999999999998</v>
      </c>
      <c r="F47" s="89">
        <v>1942.8</v>
      </c>
      <c r="G47" s="82">
        <v>863.7</v>
      </c>
      <c r="H47" s="82"/>
      <c r="I47" s="82"/>
      <c r="J47" s="81" t="e">
        <f>J48+#REF!+#REF!+#REF!+#REF!</f>
        <v>#REF!</v>
      </c>
      <c r="K47" s="83"/>
      <c r="L47" s="90" t="e">
        <f>#REF!/$K$48*100</f>
        <v>#REF!</v>
      </c>
      <c r="M47" s="84"/>
      <c r="N47" s="84"/>
      <c r="O47" s="75"/>
      <c r="P47" s="75"/>
      <c r="Q47" s="84" t="e">
        <f>O46/#REF!*100</f>
        <v>#REF!</v>
      </c>
      <c r="R47" s="84"/>
      <c r="S47" s="84"/>
      <c r="T47" s="84"/>
      <c r="U47" s="84"/>
      <c r="V47" s="84"/>
      <c r="W47" s="84"/>
      <c r="X47" s="84"/>
      <c r="Y47" s="84"/>
      <c r="Z47" s="84"/>
      <c r="AA47" s="84">
        <f t="shared" si="2"/>
        <v>0</v>
      </c>
      <c r="AB47" s="84" t="e">
        <f t="shared" si="3"/>
        <v>#DIV/0!</v>
      </c>
      <c r="AC47" s="84">
        <f t="shared" si="4"/>
        <v>0</v>
      </c>
      <c r="AD47" s="84" t="e">
        <f t="shared" si="5"/>
        <v>#DIV/0!</v>
      </c>
      <c r="AE47" s="84" t="e">
        <f t="shared" si="6"/>
        <v>#REF!</v>
      </c>
      <c r="AF47" s="84" t="e">
        <f t="shared" si="7"/>
        <v>#DIV/0!</v>
      </c>
      <c r="AG47" s="84" t="e">
        <f t="shared" si="8"/>
        <v>#DIV/0!</v>
      </c>
      <c r="AH47" s="84" t="e">
        <f t="shared" si="9"/>
        <v>#REF!</v>
      </c>
      <c r="AI47" s="84" t="e">
        <f t="shared" si="10"/>
        <v>#REF!</v>
      </c>
      <c r="AJ47" s="84">
        <f t="shared" si="11"/>
        <v>0</v>
      </c>
      <c r="AK47" s="84"/>
      <c r="AL47" s="84"/>
      <c r="AM47" s="84">
        <f t="shared" si="12"/>
        <v>0</v>
      </c>
      <c r="AN47" s="84" t="e">
        <f t="shared" si="13"/>
        <v>#DIV/0!</v>
      </c>
      <c r="AO47" s="84">
        <f t="shared" si="14"/>
        <v>0</v>
      </c>
      <c r="AP47" s="84"/>
      <c r="AQ47" s="84"/>
      <c r="AR47" s="85" t="e">
        <f>O46/N46*100</f>
        <v>#DIV/0!</v>
      </c>
      <c r="AS47" s="85" t="e">
        <f>#REF!-#REF!</f>
        <v>#REF!</v>
      </c>
    </row>
    <row r="48" spans="1:45" s="77" customFormat="1" ht="16.5" customHeight="1">
      <c r="A48" s="73" t="s">
        <v>404</v>
      </c>
      <c r="B48" s="74"/>
      <c r="C48" s="74"/>
      <c r="D48" s="86">
        <f>D46+D43+D35+D32+D26+D19+D14+D12+D5</f>
        <v>21523.071</v>
      </c>
      <c r="E48" s="86">
        <f>E46+E43+E35+E32+E26+E19+E14+E12+E5-0.7</f>
        <v>27752.931</v>
      </c>
      <c r="F48" s="86">
        <f>F46+F43+F35+F32+F26+F19+F14+F12+F5</f>
        <v>34079.620999999992</v>
      </c>
      <c r="G48" s="86">
        <f>G46+G43+G35+G32+G26+G19+G14+G12+G5+G41</f>
        <v>29063.3</v>
      </c>
      <c r="H48" s="86">
        <f>H46+H43+H35+H32+H26+H19+H14+H12+H5+H41</f>
        <v>54812.500000000007</v>
      </c>
      <c r="I48" s="86">
        <f>I46+I43+I35+I32+I26+I19+I14+I12+I5+I41-1</f>
        <v>57638.999999999993</v>
      </c>
      <c r="J48" s="75">
        <f>J43+J41+J35+J32+J26+J19+J14+J12+J5</f>
        <v>74679</v>
      </c>
      <c r="K48" s="75">
        <f>K43+K41+K35+K32+K26+K19+K14+K12+K5+K30</f>
        <v>59982.54</v>
      </c>
      <c r="L48" s="75">
        <v>60834.3</v>
      </c>
      <c r="M48" s="75">
        <f>M43+M41+M35+M32+M26+M19+M14+M12+M5+M30+M39</f>
        <v>100798.69999999998</v>
      </c>
      <c r="N48" s="75">
        <f>N43+N41+N35+N32+N26+N19+N14+N12+N5+N30+N39</f>
        <v>73503</v>
      </c>
      <c r="O48" s="75">
        <f>O43+O41+O35+O32+O26+O19+O14+O12+O5+O30+O39+0.1</f>
        <v>93315.4</v>
      </c>
      <c r="P48" s="75">
        <f>P43+P41+P35+P30+P26+P19+P14+P12+P5+P39</f>
        <v>102916.79999999999</v>
      </c>
      <c r="Q48" s="75">
        <f>Q43+Q41+Q35+Q30+Q26+Q19+Q14+Q12+Q5</f>
        <v>72244.900000000009</v>
      </c>
      <c r="R48" s="75">
        <f>R43+R41+R35+R30+R26+R19+R14+R12+R5+R32</f>
        <v>84745.400000000009</v>
      </c>
      <c r="S48" s="75">
        <f>S43+S41+S35+S30+S26+S19+S14+S12+S5+S32</f>
        <v>19540.199999999997</v>
      </c>
      <c r="T48" s="75">
        <f>T43+T41+T35+T30+T26+T19+T14+T12+T5+T32+T39</f>
        <v>113171.70000000001</v>
      </c>
      <c r="U48" s="75">
        <f>U43+U41+U35+U30+U26+U19+U14+U12+U5+U32+U39</f>
        <v>115094.00000000001</v>
      </c>
      <c r="V48" s="75">
        <f>V43+V41+V35+V30+V26+V19+V14+V12+V5+V32+V39</f>
        <v>69238.3</v>
      </c>
      <c r="W48" s="75">
        <f>W43+W41+W35+W30+W26+W19+W14+W12+W5+W32+W39</f>
        <v>116684.30000000002</v>
      </c>
      <c r="X48" s="75">
        <f>X43+X41+X35+X30+X26+X19+X14+X12+X5+X32+X39</f>
        <v>118415.8</v>
      </c>
      <c r="Y48" s="75">
        <f>Y43+Y41+Y35+Y30+Y26+Y19+Y14+Y12+Y5+Y32+Y39-0.1</f>
        <v>118415.8</v>
      </c>
      <c r="Z48" s="75">
        <f>Z43+Z41+Z35+Z30+Z26+Z19+Z14+Z12+Z5+Z32+Z39-0.1</f>
        <v>105933.3</v>
      </c>
      <c r="AA48" s="75">
        <f t="shared" si="2"/>
        <v>0</v>
      </c>
      <c r="AB48" s="75">
        <f t="shared" si="3"/>
        <v>100</v>
      </c>
      <c r="AC48" s="75">
        <f t="shared" si="4"/>
        <v>-12482.5</v>
      </c>
      <c r="AD48" s="75">
        <f t="shared" si="5"/>
        <v>89.458754659428891</v>
      </c>
      <c r="AE48" s="75">
        <f t="shared" si="6"/>
        <v>146.63083484093687</v>
      </c>
      <c r="AF48" s="75">
        <f t="shared" si="7"/>
        <v>89.458754659428891</v>
      </c>
      <c r="AG48" s="75">
        <f t="shared" si="8"/>
        <v>102.93100834849123</v>
      </c>
      <c r="AH48" s="75">
        <f t="shared" si="9"/>
        <v>46170.899999999994</v>
      </c>
      <c r="AI48" s="75">
        <f t="shared" si="10"/>
        <v>163.90887107602057</v>
      </c>
      <c r="AJ48" s="75">
        <f t="shared" si="11"/>
        <v>100</v>
      </c>
      <c r="AK48" s="75">
        <f>AK43+AK41+AK35+AK30+AK26+AK19+AK14+AK12+AK5+AK32+AK39</f>
        <v>70216.800000000003</v>
      </c>
      <c r="AL48" s="75">
        <f>AL43+AL41+AL35+AL30+AL26+AL19+AL14+AL12+AL5+AL32+AL39</f>
        <v>89775.9</v>
      </c>
      <c r="AM48" s="75">
        <f t="shared" si="12"/>
        <v>19559.099999999991</v>
      </c>
      <c r="AN48" s="75">
        <f t="shared" si="13"/>
        <v>127.85529958642374</v>
      </c>
      <c r="AO48" s="75">
        <f t="shared" si="14"/>
        <v>100</v>
      </c>
      <c r="AP48" s="75">
        <f>AP43+AP41+AP35+AP30+AP26+AP19+AP14+AP12+AP5+AP32+AP39</f>
        <v>68630.700000000012</v>
      </c>
      <c r="AQ48" s="75">
        <f>AQ43+AQ41+AQ35+AQ30+AQ26+AQ19+AQ14+AQ12+AQ5+AQ32+AQ39</f>
        <v>70146.400000000009</v>
      </c>
      <c r="AR48" s="76">
        <f>AR43+AR41+AR35+AR30+AR26+AR19+AR14+AR12+AR5</f>
        <v>62124.100000000006</v>
      </c>
      <c r="AS48" s="76">
        <f>AS43+AS41+AS35+AS30+AS26+AS19+AS14+AS12+AS5</f>
        <v>62199.600000000006</v>
      </c>
    </row>
    <row r="49" spans="10:43">
      <c r="J49" s="53"/>
      <c r="AK49" s="106">
        <f>4356.1/AK48*100</f>
        <v>6.2037859885383559</v>
      </c>
      <c r="AL49" s="106"/>
      <c r="AM49" s="106"/>
      <c r="AN49" s="106"/>
      <c r="AO49" s="106"/>
      <c r="AP49" s="106">
        <f>2910.4/AP48*100</f>
        <v>4.2406678060984371</v>
      </c>
      <c r="AQ49" s="106">
        <f>1210.4/AQ48*100</f>
        <v>1.7255340259799505</v>
      </c>
    </row>
  </sheetData>
  <mergeCells count="2">
    <mergeCell ref="A2:AQ2"/>
    <mergeCell ref="A3:AS3"/>
  </mergeCells>
  <pageMargins left="0.19685039370078741" right="0.19685039370078741" top="0.19685039370078741" bottom="0.19685039370078741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6"/>
  <sheetViews>
    <sheetView topLeftCell="A389" workbookViewId="0">
      <selection sqref="A1:S387"/>
    </sheetView>
  </sheetViews>
  <sheetFormatPr defaultRowHeight="12.75"/>
  <cols>
    <col min="1" max="1" width="33.5703125" style="107" customWidth="1"/>
    <col min="2" max="2" width="4.28515625" style="108" customWidth="1"/>
    <col min="3" max="3" width="5.28515625" style="108" customWidth="1"/>
    <col min="4" max="4" width="10" style="109" customWidth="1"/>
    <col min="5" max="5" width="5.28515625" style="108" customWidth="1"/>
    <col min="6" max="6" width="6.85546875" style="108" customWidth="1"/>
    <col min="7" max="7" width="10.42578125" style="109" customWidth="1"/>
    <col min="8" max="8" width="9.42578125" style="109" customWidth="1"/>
    <col min="9" max="9" width="9.7109375" style="109" customWidth="1"/>
    <col min="10" max="10" width="10.5703125" style="109" customWidth="1"/>
    <col min="11" max="11" width="9.140625" style="109"/>
    <col min="12" max="12" width="8.140625" style="109" customWidth="1"/>
    <col min="13" max="14" width="9.140625" style="109"/>
    <col min="15" max="15" width="7.5703125" style="109" customWidth="1"/>
    <col min="16" max="16" width="9.140625" style="109"/>
    <col min="17" max="17" width="8.5703125" style="109" customWidth="1"/>
    <col min="18" max="18" width="7.85546875" style="109" customWidth="1"/>
    <col min="19" max="19" width="7.140625" style="109" customWidth="1"/>
    <col min="20" max="257" width="9.140625" style="111"/>
    <col min="258" max="258" width="33.5703125" style="111" customWidth="1"/>
    <col min="259" max="259" width="6.140625" style="111" customWidth="1"/>
    <col min="260" max="260" width="5.140625" style="111" customWidth="1"/>
    <col min="261" max="261" width="5.28515625" style="111" customWidth="1"/>
    <col min="262" max="262" width="11.28515625" style="111" customWidth="1"/>
    <col min="263" max="263" width="6.85546875" style="111" customWidth="1"/>
    <col min="264" max="264" width="12.5703125" style="111" customWidth="1"/>
    <col min="265" max="265" width="9.7109375" style="111" customWidth="1"/>
    <col min="266" max="266" width="8.140625" style="111" customWidth="1"/>
    <col min="267" max="513" width="9.140625" style="111"/>
    <col min="514" max="514" width="33.5703125" style="111" customWidth="1"/>
    <col min="515" max="515" width="6.140625" style="111" customWidth="1"/>
    <col min="516" max="516" width="5.140625" style="111" customWidth="1"/>
    <col min="517" max="517" width="5.28515625" style="111" customWidth="1"/>
    <col min="518" max="518" width="11.28515625" style="111" customWidth="1"/>
    <col min="519" max="519" width="6.85546875" style="111" customWidth="1"/>
    <col min="520" max="520" width="12.5703125" style="111" customWidth="1"/>
    <col min="521" max="521" width="9.7109375" style="111" customWidth="1"/>
    <col min="522" max="522" width="8.140625" style="111" customWidth="1"/>
    <col min="523" max="769" width="9.140625" style="111"/>
    <col min="770" max="770" width="33.5703125" style="111" customWidth="1"/>
    <col min="771" max="771" width="6.140625" style="111" customWidth="1"/>
    <col min="772" max="772" width="5.140625" style="111" customWidth="1"/>
    <col min="773" max="773" width="5.28515625" style="111" customWidth="1"/>
    <col min="774" max="774" width="11.28515625" style="111" customWidth="1"/>
    <col min="775" max="775" width="6.85546875" style="111" customWidth="1"/>
    <col min="776" max="776" width="12.5703125" style="111" customWidth="1"/>
    <col min="777" max="777" width="9.7109375" style="111" customWidth="1"/>
    <col min="778" max="778" width="8.140625" style="111" customWidth="1"/>
    <col min="779" max="1025" width="9.140625" style="111"/>
    <col min="1026" max="1026" width="33.5703125" style="111" customWidth="1"/>
    <col min="1027" max="1027" width="6.140625" style="111" customWidth="1"/>
    <col min="1028" max="1028" width="5.140625" style="111" customWidth="1"/>
    <col min="1029" max="1029" width="5.28515625" style="111" customWidth="1"/>
    <col min="1030" max="1030" width="11.28515625" style="111" customWidth="1"/>
    <col min="1031" max="1031" width="6.85546875" style="111" customWidth="1"/>
    <col min="1032" max="1032" width="12.5703125" style="111" customWidth="1"/>
    <col min="1033" max="1033" width="9.7109375" style="111" customWidth="1"/>
    <col min="1034" max="1034" width="8.140625" style="111" customWidth="1"/>
    <col min="1035" max="1281" width="9.140625" style="111"/>
    <col min="1282" max="1282" width="33.5703125" style="111" customWidth="1"/>
    <col min="1283" max="1283" width="6.140625" style="111" customWidth="1"/>
    <col min="1284" max="1284" width="5.140625" style="111" customWidth="1"/>
    <col min="1285" max="1285" width="5.28515625" style="111" customWidth="1"/>
    <col min="1286" max="1286" width="11.28515625" style="111" customWidth="1"/>
    <col min="1287" max="1287" width="6.85546875" style="111" customWidth="1"/>
    <col min="1288" max="1288" width="12.5703125" style="111" customWidth="1"/>
    <col min="1289" max="1289" width="9.7109375" style="111" customWidth="1"/>
    <col min="1290" max="1290" width="8.140625" style="111" customWidth="1"/>
    <col min="1291" max="1537" width="9.140625" style="111"/>
    <col min="1538" max="1538" width="33.5703125" style="111" customWidth="1"/>
    <col min="1539" max="1539" width="6.140625" style="111" customWidth="1"/>
    <col min="1540" max="1540" width="5.140625" style="111" customWidth="1"/>
    <col min="1541" max="1541" width="5.28515625" style="111" customWidth="1"/>
    <col min="1542" max="1542" width="11.28515625" style="111" customWidth="1"/>
    <col min="1543" max="1543" width="6.85546875" style="111" customWidth="1"/>
    <col min="1544" max="1544" width="12.5703125" style="111" customWidth="1"/>
    <col min="1545" max="1545" width="9.7109375" style="111" customWidth="1"/>
    <col min="1546" max="1546" width="8.140625" style="111" customWidth="1"/>
    <col min="1547" max="1793" width="9.140625" style="111"/>
    <col min="1794" max="1794" width="33.5703125" style="111" customWidth="1"/>
    <col min="1795" max="1795" width="6.140625" style="111" customWidth="1"/>
    <col min="1796" max="1796" width="5.140625" style="111" customWidth="1"/>
    <col min="1797" max="1797" width="5.28515625" style="111" customWidth="1"/>
    <col min="1798" max="1798" width="11.28515625" style="111" customWidth="1"/>
    <col min="1799" max="1799" width="6.85546875" style="111" customWidth="1"/>
    <col min="1800" max="1800" width="12.5703125" style="111" customWidth="1"/>
    <col min="1801" max="1801" width="9.7109375" style="111" customWidth="1"/>
    <col min="1802" max="1802" width="8.140625" style="111" customWidth="1"/>
    <col min="1803" max="2049" width="9.140625" style="111"/>
    <col min="2050" max="2050" width="33.5703125" style="111" customWidth="1"/>
    <col min="2051" max="2051" width="6.140625" style="111" customWidth="1"/>
    <col min="2052" max="2052" width="5.140625" style="111" customWidth="1"/>
    <col min="2053" max="2053" width="5.28515625" style="111" customWidth="1"/>
    <col min="2054" max="2054" width="11.28515625" style="111" customWidth="1"/>
    <col min="2055" max="2055" width="6.85546875" style="111" customWidth="1"/>
    <col min="2056" max="2056" width="12.5703125" style="111" customWidth="1"/>
    <col min="2057" max="2057" width="9.7109375" style="111" customWidth="1"/>
    <col min="2058" max="2058" width="8.140625" style="111" customWidth="1"/>
    <col min="2059" max="2305" width="9.140625" style="111"/>
    <col min="2306" max="2306" width="33.5703125" style="111" customWidth="1"/>
    <col min="2307" max="2307" width="6.140625" style="111" customWidth="1"/>
    <col min="2308" max="2308" width="5.140625" style="111" customWidth="1"/>
    <col min="2309" max="2309" width="5.28515625" style="111" customWidth="1"/>
    <col min="2310" max="2310" width="11.28515625" style="111" customWidth="1"/>
    <col min="2311" max="2311" width="6.85546875" style="111" customWidth="1"/>
    <col min="2312" max="2312" width="12.5703125" style="111" customWidth="1"/>
    <col min="2313" max="2313" width="9.7109375" style="111" customWidth="1"/>
    <col min="2314" max="2314" width="8.140625" style="111" customWidth="1"/>
    <col min="2315" max="2561" width="9.140625" style="111"/>
    <col min="2562" max="2562" width="33.5703125" style="111" customWidth="1"/>
    <col min="2563" max="2563" width="6.140625" style="111" customWidth="1"/>
    <col min="2564" max="2564" width="5.140625" style="111" customWidth="1"/>
    <col min="2565" max="2565" width="5.28515625" style="111" customWidth="1"/>
    <col min="2566" max="2566" width="11.28515625" style="111" customWidth="1"/>
    <col min="2567" max="2567" width="6.85546875" style="111" customWidth="1"/>
    <col min="2568" max="2568" width="12.5703125" style="111" customWidth="1"/>
    <col min="2569" max="2569" width="9.7109375" style="111" customWidth="1"/>
    <col min="2570" max="2570" width="8.140625" style="111" customWidth="1"/>
    <col min="2571" max="2817" width="9.140625" style="111"/>
    <col min="2818" max="2818" width="33.5703125" style="111" customWidth="1"/>
    <col min="2819" max="2819" width="6.140625" style="111" customWidth="1"/>
    <col min="2820" max="2820" width="5.140625" style="111" customWidth="1"/>
    <col min="2821" max="2821" width="5.28515625" style="111" customWidth="1"/>
    <col min="2822" max="2822" width="11.28515625" style="111" customWidth="1"/>
    <col min="2823" max="2823" width="6.85546875" style="111" customWidth="1"/>
    <col min="2824" max="2824" width="12.5703125" style="111" customWidth="1"/>
    <col min="2825" max="2825" width="9.7109375" style="111" customWidth="1"/>
    <col min="2826" max="2826" width="8.140625" style="111" customWidth="1"/>
    <col min="2827" max="3073" width="9.140625" style="111"/>
    <col min="3074" max="3074" width="33.5703125" style="111" customWidth="1"/>
    <col min="3075" max="3075" width="6.140625" style="111" customWidth="1"/>
    <col min="3076" max="3076" width="5.140625" style="111" customWidth="1"/>
    <col min="3077" max="3077" width="5.28515625" style="111" customWidth="1"/>
    <col min="3078" max="3078" width="11.28515625" style="111" customWidth="1"/>
    <col min="3079" max="3079" width="6.85546875" style="111" customWidth="1"/>
    <col min="3080" max="3080" width="12.5703125" style="111" customWidth="1"/>
    <col min="3081" max="3081" width="9.7109375" style="111" customWidth="1"/>
    <col min="3082" max="3082" width="8.140625" style="111" customWidth="1"/>
    <col min="3083" max="3329" width="9.140625" style="111"/>
    <col min="3330" max="3330" width="33.5703125" style="111" customWidth="1"/>
    <col min="3331" max="3331" width="6.140625" style="111" customWidth="1"/>
    <col min="3332" max="3332" width="5.140625" style="111" customWidth="1"/>
    <col min="3333" max="3333" width="5.28515625" style="111" customWidth="1"/>
    <col min="3334" max="3334" width="11.28515625" style="111" customWidth="1"/>
    <col min="3335" max="3335" width="6.85546875" style="111" customWidth="1"/>
    <col min="3336" max="3336" width="12.5703125" style="111" customWidth="1"/>
    <col min="3337" max="3337" width="9.7109375" style="111" customWidth="1"/>
    <col min="3338" max="3338" width="8.140625" style="111" customWidth="1"/>
    <col min="3339" max="3585" width="9.140625" style="111"/>
    <col min="3586" max="3586" width="33.5703125" style="111" customWidth="1"/>
    <col min="3587" max="3587" width="6.140625" style="111" customWidth="1"/>
    <col min="3588" max="3588" width="5.140625" style="111" customWidth="1"/>
    <col min="3589" max="3589" width="5.28515625" style="111" customWidth="1"/>
    <col min="3590" max="3590" width="11.28515625" style="111" customWidth="1"/>
    <col min="3591" max="3591" width="6.85546875" style="111" customWidth="1"/>
    <col min="3592" max="3592" width="12.5703125" style="111" customWidth="1"/>
    <col min="3593" max="3593" width="9.7109375" style="111" customWidth="1"/>
    <col min="3594" max="3594" width="8.140625" style="111" customWidth="1"/>
    <col min="3595" max="3841" width="9.140625" style="111"/>
    <col min="3842" max="3842" width="33.5703125" style="111" customWidth="1"/>
    <col min="3843" max="3843" width="6.140625" style="111" customWidth="1"/>
    <col min="3844" max="3844" width="5.140625" style="111" customWidth="1"/>
    <col min="3845" max="3845" width="5.28515625" style="111" customWidth="1"/>
    <col min="3846" max="3846" width="11.28515625" style="111" customWidth="1"/>
    <col min="3847" max="3847" width="6.85546875" style="111" customWidth="1"/>
    <col min="3848" max="3848" width="12.5703125" style="111" customWidth="1"/>
    <col min="3849" max="3849" width="9.7109375" style="111" customWidth="1"/>
    <col min="3850" max="3850" width="8.140625" style="111" customWidth="1"/>
    <col min="3851" max="4097" width="9.140625" style="111"/>
    <col min="4098" max="4098" width="33.5703125" style="111" customWidth="1"/>
    <col min="4099" max="4099" width="6.140625" style="111" customWidth="1"/>
    <col min="4100" max="4100" width="5.140625" style="111" customWidth="1"/>
    <col min="4101" max="4101" width="5.28515625" style="111" customWidth="1"/>
    <col min="4102" max="4102" width="11.28515625" style="111" customWidth="1"/>
    <col min="4103" max="4103" width="6.85546875" style="111" customWidth="1"/>
    <col min="4104" max="4104" width="12.5703125" style="111" customWidth="1"/>
    <col min="4105" max="4105" width="9.7109375" style="111" customWidth="1"/>
    <col min="4106" max="4106" width="8.140625" style="111" customWidth="1"/>
    <col min="4107" max="4353" width="9.140625" style="111"/>
    <col min="4354" max="4354" width="33.5703125" style="111" customWidth="1"/>
    <col min="4355" max="4355" width="6.140625" style="111" customWidth="1"/>
    <col min="4356" max="4356" width="5.140625" style="111" customWidth="1"/>
    <col min="4357" max="4357" width="5.28515625" style="111" customWidth="1"/>
    <col min="4358" max="4358" width="11.28515625" style="111" customWidth="1"/>
    <col min="4359" max="4359" width="6.85546875" style="111" customWidth="1"/>
    <col min="4360" max="4360" width="12.5703125" style="111" customWidth="1"/>
    <col min="4361" max="4361" width="9.7109375" style="111" customWidth="1"/>
    <col min="4362" max="4362" width="8.140625" style="111" customWidth="1"/>
    <col min="4363" max="4609" width="9.140625" style="111"/>
    <col min="4610" max="4610" width="33.5703125" style="111" customWidth="1"/>
    <col min="4611" max="4611" width="6.140625" style="111" customWidth="1"/>
    <col min="4612" max="4612" width="5.140625" style="111" customWidth="1"/>
    <col min="4613" max="4613" width="5.28515625" style="111" customWidth="1"/>
    <col min="4614" max="4614" width="11.28515625" style="111" customWidth="1"/>
    <col min="4615" max="4615" width="6.85546875" style="111" customWidth="1"/>
    <col min="4616" max="4616" width="12.5703125" style="111" customWidth="1"/>
    <col min="4617" max="4617" width="9.7109375" style="111" customWidth="1"/>
    <col min="4618" max="4618" width="8.140625" style="111" customWidth="1"/>
    <col min="4619" max="4865" width="9.140625" style="111"/>
    <col min="4866" max="4866" width="33.5703125" style="111" customWidth="1"/>
    <col min="4867" max="4867" width="6.140625" style="111" customWidth="1"/>
    <col min="4868" max="4868" width="5.140625" style="111" customWidth="1"/>
    <col min="4869" max="4869" width="5.28515625" style="111" customWidth="1"/>
    <col min="4870" max="4870" width="11.28515625" style="111" customWidth="1"/>
    <col min="4871" max="4871" width="6.85546875" style="111" customWidth="1"/>
    <col min="4872" max="4872" width="12.5703125" style="111" customWidth="1"/>
    <col min="4873" max="4873" width="9.7109375" style="111" customWidth="1"/>
    <col min="4874" max="4874" width="8.140625" style="111" customWidth="1"/>
    <col min="4875" max="5121" width="9.140625" style="111"/>
    <col min="5122" max="5122" width="33.5703125" style="111" customWidth="1"/>
    <col min="5123" max="5123" width="6.140625" style="111" customWidth="1"/>
    <col min="5124" max="5124" width="5.140625" style="111" customWidth="1"/>
    <col min="5125" max="5125" width="5.28515625" style="111" customWidth="1"/>
    <col min="5126" max="5126" width="11.28515625" style="111" customWidth="1"/>
    <col min="5127" max="5127" width="6.85546875" style="111" customWidth="1"/>
    <col min="5128" max="5128" width="12.5703125" style="111" customWidth="1"/>
    <col min="5129" max="5129" width="9.7109375" style="111" customWidth="1"/>
    <col min="5130" max="5130" width="8.140625" style="111" customWidth="1"/>
    <col min="5131" max="5377" width="9.140625" style="111"/>
    <col min="5378" max="5378" width="33.5703125" style="111" customWidth="1"/>
    <col min="5379" max="5379" width="6.140625" style="111" customWidth="1"/>
    <col min="5380" max="5380" width="5.140625" style="111" customWidth="1"/>
    <col min="5381" max="5381" width="5.28515625" style="111" customWidth="1"/>
    <col min="5382" max="5382" width="11.28515625" style="111" customWidth="1"/>
    <col min="5383" max="5383" width="6.85546875" style="111" customWidth="1"/>
    <col min="5384" max="5384" width="12.5703125" style="111" customWidth="1"/>
    <col min="5385" max="5385" width="9.7109375" style="111" customWidth="1"/>
    <col min="5386" max="5386" width="8.140625" style="111" customWidth="1"/>
    <col min="5387" max="5633" width="9.140625" style="111"/>
    <col min="5634" max="5634" width="33.5703125" style="111" customWidth="1"/>
    <col min="5635" max="5635" width="6.140625" style="111" customWidth="1"/>
    <col min="5636" max="5636" width="5.140625" style="111" customWidth="1"/>
    <col min="5637" max="5637" width="5.28515625" style="111" customWidth="1"/>
    <col min="5638" max="5638" width="11.28515625" style="111" customWidth="1"/>
    <col min="5639" max="5639" width="6.85546875" style="111" customWidth="1"/>
    <col min="5640" max="5640" width="12.5703125" style="111" customWidth="1"/>
    <col min="5641" max="5641" width="9.7109375" style="111" customWidth="1"/>
    <col min="5642" max="5642" width="8.140625" style="111" customWidth="1"/>
    <col min="5643" max="5889" width="9.140625" style="111"/>
    <col min="5890" max="5890" width="33.5703125" style="111" customWidth="1"/>
    <col min="5891" max="5891" width="6.140625" style="111" customWidth="1"/>
    <col min="5892" max="5892" width="5.140625" style="111" customWidth="1"/>
    <col min="5893" max="5893" width="5.28515625" style="111" customWidth="1"/>
    <col min="5894" max="5894" width="11.28515625" style="111" customWidth="1"/>
    <col min="5895" max="5895" width="6.85546875" style="111" customWidth="1"/>
    <col min="5896" max="5896" width="12.5703125" style="111" customWidth="1"/>
    <col min="5897" max="5897" width="9.7109375" style="111" customWidth="1"/>
    <col min="5898" max="5898" width="8.140625" style="111" customWidth="1"/>
    <col min="5899" max="6145" width="9.140625" style="111"/>
    <col min="6146" max="6146" width="33.5703125" style="111" customWidth="1"/>
    <col min="6147" max="6147" width="6.140625" style="111" customWidth="1"/>
    <col min="6148" max="6148" width="5.140625" style="111" customWidth="1"/>
    <col min="6149" max="6149" width="5.28515625" style="111" customWidth="1"/>
    <col min="6150" max="6150" width="11.28515625" style="111" customWidth="1"/>
    <col min="6151" max="6151" width="6.85546875" style="111" customWidth="1"/>
    <col min="6152" max="6152" width="12.5703125" style="111" customWidth="1"/>
    <col min="6153" max="6153" width="9.7109375" style="111" customWidth="1"/>
    <col min="6154" max="6154" width="8.140625" style="111" customWidth="1"/>
    <col min="6155" max="6401" width="9.140625" style="111"/>
    <col min="6402" max="6402" width="33.5703125" style="111" customWidth="1"/>
    <col min="6403" max="6403" width="6.140625" style="111" customWidth="1"/>
    <col min="6404" max="6404" width="5.140625" style="111" customWidth="1"/>
    <col min="6405" max="6405" width="5.28515625" style="111" customWidth="1"/>
    <col min="6406" max="6406" width="11.28515625" style="111" customWidth="1"/>
    <col min="6407" max="6407" width="6.85546875" style="111" customWidth="1"/>
    <col min="6408" max="6408" width="12.5703125" style="111" customWidth="1"/>
    <col min="6409" max="6409" width="9.7109375" style="111" customWidth="1"/>
    <col min="6410" max="6410" width="8.140625" style="111" customWidth="1"/>
    <col min="6411" max="6657" width="9.140625" style="111"/>
    <col min="6658" max="6658" width="33.5703125" style="111" customWidth="1"/>
    <col min="6659" max="6659" width="6.140625" style="111" customWidth="1"/>
    <col min="6660" max="6660" width="5.140625" style="111" customWidth="1"/>
    <col min="6661" max="6661" width="5.28515625" style="111" customWidth="1"/>
    <col min="6662" max="6662" width="11.28515625" style="111" customWidth="1"/>
    <col min="6663" max="6663" width="6.85546875" style="111" customWidth="1"/>
    <col min="6664" max="6664" width="12.5703125" style="111" customWidth="1"/>
    <col min="6665" max="6665" width="9.7109375" style="111" customWidth="1"/>
    <col min="6666" max="6666" width="8.140625" style="111" customWidth="1"/>
    <col min="6667" max="6913" width="9.140625" style="111"/>
    <col min="6914" max="6914" width="33.5703125" style="111" customWidth="1"/>
    <col min="6915" max="6915" width="6.140625" style="111" customWidth="1"/>
    <col min="6916" max="6916" width="5.140625" style="111" customWidth="1"/>
    <col min="6917" max="6917" width="5.28515625" style="111" customWidth="1"/>
    <col min="6918" max="6918" width="11.28515625" style="111" customWidth="1"/>
    <col min="6919" max="6919" width="6.85546875" style="111" customWidth="1"/>
    <col min="6920" max="6920" width="12.5703125" style="111" customWidth="1"/>
    <col min="6921" max="6921" width="9.7109375" style="111" customWidth="1"/>
    <col min="6922" max="6922" width="8.140625" style="111" customWidth="1"/>
    <col min="6923" max="7169" width="9.140625" style="111"/>
    <col min="7170" max="7170" width="33.5703125" style="111" customWidth="1"/>
    <col min="7171" max="7171" width="6.140625" style="111" customWidth="1"/>
    <col min="7172" max="7172" width="5.140625" style="111" customWidth="1"/>
    <col min="7173" max="7173" width="5.28515625" style="111" customWidth="1"/>
    <col min="7174" max="7174" width="11.28515625" style="111" customWidth="1"/>
    <col min="7175" max="7175" width="6.85546875" style="111" customWidth="1"/>
    <col min="7176" max="7176" width="12.5703125" style="111" customWidth="1"/>
    <col min="7177" max="7177" width="9.7109375" style="111" customWidth="1"/>
    <col min="7178" max="7178" width="8.140625" style="111" customWidth="1"/>
    <col min="7179" max="7425" width="9.140625" style="111"/>
    <col min="7426" max="7426" width="33.5703125" style="111" customWidth="1"/>
    <col min="7427" max="7427" width="6.140625" style="111" customWidth="1"/>
    <col min="7428" max="7428" width="5.140625" style="111" customWidth="1"/>
    <col min="7429" max="7429" width="5.28515625" style="111" customWidth="1"/>
    <col min="7430" max="7430" width="11.28515625" style="111" customWidth="1"/>
    <col min="7431" max="7431" width="6.85546875" style="111" customWidth="1"/>
    <col min="7432" max="7432" width="12.5703125" style="111" customWidth="1"/>
    <col min="7433" max="7433" width="9.7109375" style="111" customWidth="1"/>
    <col min="7434" max="7434" width="8.140625" style="111" customWidth="1"/>
    <col min="7435" max="7681" width="9.140625" style="111"/>
    <col min="7682" max="7682" width="33.5703125" style="111" customWidth="1"/>
    <col min="7683" max="7683" width="6.140625" style="111" customWidth="1"/>
    <col min="7684" max="7684" width="5.140625" style="111" customWidth="1"/>
    <col min="7685" max="7685" width="5.28515625" style="111" customWidth="1"/>
    <col min="7686" max="7686" width="11.28515625" style="111" customWidth="1"/>
    <col min="7687" max="7687" width="6.85546875" style="111" customWidth="1"/>
    <col min="7688" max="7688" width="12.5703125" style="111" customWidth="1"/>
    <col min="7689" max="7689" width="9.7109375" style="111" customWidth="1"/>
    <col min="7690" max="7690" width="8.140625" style="111" customWidth="1"/>
    <col min="7691" max="7937" width="9.140625" style="111"/>
    <col min="7938" max="7938" width="33.5703125" style="111" customWidth="1"/>
    <col min="7939" max="7939" width="6.140625" style="111" customWidth="1"/>
    <col min="7940" max="7940" width="5.140625" style="111" customWidth="1"/>
    <col min="7941" max="7941" width="5.28515625" style="111" customWidth="1"/>
    <col min="7942" max="7942" width="11.28515625" style="111" customWidth="1"/>
    <col min="7943" max="7943" width="6.85546875" style="111" customWidth="1"/>
    <col min="7944" max="7944" width="12.5703125" style="111" customWidth="1"/>
    <col min="7945" max="7945" width="9.7109375" style="111" customWidth="1"/>
    <col min="7946" max="7946" width="8.140625" style="111" customWidth="1"/>
    <col min="7947" max="8193" width="9.140625" style="111"/>
    <col min="8194" max="8194" width="33.5703125" style="111" customWidth="1"/>
    <col min="8195" max="8195" width="6.140625" style="111" customWidth="1"/>
    <col min="8196" max="8196" width="5.140625" style="111" customWidth="1"/>
    <col min="8197" max="8197" width="5.28515625" style="111" customWidth="1"/>
    <col min="8198" max="8198" width="11.28515625" style="111" customWidth="1"/>
    <col min="8199" max="8199" width="6.85546875" style="111" customWidth="1"/>
    <col min="8200" max="8200" width="12.5703125" style="111" customWidth="1"/>
    <col min="8201" max="8201" width="9.7109375" style="111" customWidth="1"/>
    <col min="8202" max="8202" width="8.140625" style="111" customWidth="1"/>
    <col min="8203" max="8449" width="9.140625" style="111"/>
    <col min="8450" max="8450" width="33.5703125" style="111" customWidth="1"/>
    <col min="8451" max="8451" width="6.140625" style="111" customWidth="1"/>
    <col min="8452" max="8452" width="5.140625" style="111" customWidth="1"/>
    <col min="8453" max="8453" width="5.28515625" style="111" customWidth="1"/>
    <col min="8454" max="8454" width="11.28515625" style="111" customWidth="1"/>
    <col min="8455" max="8455" width="6.85546875" style="111" customWidth="1"/>
    <col min="8456" max="8456" width="12.5703125" style="111" customWidth="1"/>
    <col min="8457" max="8457" width="9.7109375" style="111" customWidth="1"/>
    <col min="8458" max="8458" width="8.140625" style="111" customWidth="1"/>
    <col min="8459" max="8705" width="9.140625" style="111"/>
    <col min="8706" max="8706" width="33.5703125" style="111" customWidth="1"/>
    <col min="8707" max="8707" width="6.140625" style="111" customWidth="1"/>
    <col min="8708" max="8708" width="5.140625" style="111" customWidth="1"/>
    <col min="8709" max="8709" width="5.28515625" style="111" customWidth="1"/>
    <col min="8710" max="8710" width="11.28515625" style="111" customWidth="1"/>
    <col min="8711" max="8711" width="6.85546875" style="111" customWidth="1"/>
    <col min="8712" max="8712" width="12.5703125" style="111" customWidth="1"/>
    <col min="8713" max="8713" width="9.7109375" style="111" customWidth="1"/>
    <col min="8714" max="8714" width="8.140625" style="111" customWidth="1"/>
    <col min="8715" max="8961" width="9.140625" style="111"/>
    <col min="8962" max="8962" width="33.5703125" style="111" customWidth="1"/>
    <col min="8963" max="8963" width="6.140625" style="111" customWidth="1"/>
    <col min="8964" max="8964" width="5.140625" style="111" customWidth="1"/>
    <col min="8965" max="8965" width="5.28515625" style="111" customWidth="1"/>
    <col min="8966" max="8966" width="11.28515625" style="111" customWidth="1"/>
    <col min="8967" max="8967" width="6.85546875" style="111" customWidth="1"/>
    <col min="8968" max="8968" width="12.5703125" style="111" customWidth="1"/>
    <col min="8969" max="8969" width="9.7109375" style="111" customWidth="1"/>
    <col min="8970" max="8970" width="8.140625" style="111" customWidth="1"/>
    <col min="8971" max="9217" width="9.140625" style="111"/>
    <col min="9218" max="9218" width="33.5703125" style="111" customWidth="1"/>
    <col min="9219" max="9219" width="6.140625" style="111" customWidth="1"/>
    <col min="9220" max="9220" width="5.140625" style="111" customWidth="1"/>
    <col min="9221" max="9221" width="5.28515625" style="111" customWidth="1"/>
    <col min="9222" max="9222" width="11.28515625" style="111" customWidth="1"/>
    <col min="9223" max="9223" width="6.85546875" style="111" customWidth="1"/>
    <col min="9224" max="9224" width="12.5703125" style="111" customWidth="1"/>
    <col min="9225" max="9225" width="9.7109375" style="111" customWidth="1"/>
    <col min="9226" max="9226" width="8.140625" style="111" customWidth="1"/>
    <col min="9227" max="9473" width="9.140625" style="111"/>
    <col min="9474" max="9474" width="33.5703125" style="111" customWidth="1"/>
    <col min="9475" max="9475" width="6.140625" style="111" customWidth="1"/>
    <col min="9476" max="9476" width="5.140625" style="111" customWidth="1"/>
    <col min="9477" max="9477" width="5.28515625" style="111" customWidth="1"/>
    <col min="9478" max="9478" width="11.28515625" style="111" customWidth="1"/>
    <col min="9479" max="9479" width="6.85546875" style="111" customWidth="1"/>
    <col min="9480" max="9480" width="12.5703125" style="111" customWidth="1"/>
    <col min="9481" max="9481" width="9.7109375" style="111" customWidth="1"/>
    <col min="9482" max="9482" width="8.140625" style="111" customWidth="1"/>
    <col min="9483" max="9729" width="9.140625" style="111"/>
    <col min="9730" max="9730" width="33.5703125" style="111" customWidth="1"/>
    <col min="9731" max="9731" width="6.140625" style="111" customWidth="1"/>
    <col min="9732" max="9732" width="5.140625" style="111" customWidth="1"/>
    <col min="9733" max="9733" width="5.28515625" style="111" customWidth="1"/>
    <col min="9734" max="9734" width="11.28515625" style="111" customWidth="1"/>
    <col min="9735" max="9735" width="6.85546875" style="111" customWidth="1"/>
    <col min="9736" max="9736" width="12.5703125" style="111" customWidth="1"/>
    <col min="9737" max="9737" width="9.7109375" style="111" customWidth="1"/>
    <col min="9738" max="9738" width="8.140625" style="111" customWidth="1"/>
    <col min="9739" max="9985" width="9.140625" style="111"/>
    <col min="9986" max="9986" width="33.5703125" style="111" customWidth="1"/>
    <col min="9987" max="9987" width="6.140625" style="111" customWidth="1"/>
    <col min="9988" max="9988" width="5.140625" style="111" customWidth="1"/>
    <col min="9989" max="9989" width="5.28515625" style="111" customWidth="1"/>
    <col min="9990" max="9990" width="11.28515625" style="111" customWidth="1"/>
    <col min="9991" max="9991" width="6.85546875" style="111" customWidth="1"/>
    <col min="9992" max="9992" width="12.5703125" style="111" customWidth="1"/>
    <col min="9993" max="9993" width="9.7109375" style="111" customWidth="1"/>
    <col min="9994" max="9994" width="8.140625" style="111" customWidth="1"/>
    <col min="9995" max="10241" width="9.140625" style="111"/>
    <col min="10242" max="10242" width="33.5703125" style="111" customWidth="1"/>
    <col min="10243" max="10243" width="6.140625" style="111" customWidth="1"/>
    <col min="10244" max="10244" width="5.140625" style="111" customWidth="1"/>
    <col min="10245" max="10245" width="5.28515625" style="111" customWidth="1"/>
    <col min="10246" max="10246" width="11.28515625" style="111" customWidth="1"/>
    <col min="10247" max="10247" width="6.85546875" style="111" customWidth="1"/>
    <col min="10248" max="10248" width="12.5703125" style="111" customWidth="1"/>
    <col min="10249" max="10249" width="9.7109375" style="111" customWidth="1"/>
    <col min="10250" max="10250" width="8.140625" style="111" customWidth="1"/>
    <col min="10251" max="10497" width="9.140625" style="111"/>
    <col min="10498" max="10498" width="33.5703125" style="111" customWidth="1"/>
    <col min="10499" max="10499" width="6.140625" style="111" customWidth="1"/>
    <col min="10500" max="10500" width="5.140625" style="111" customWidth="1"/>
    <col min="10501" max="10501" width="5.28515625" style="111" customWidth="1"/>
    <col min="10502" max="10502" width="11.28515625" style="111" customWidth="1"/>
    <col min="10503" max="10503" width="6.85546875" style="111" customWidth="1"/>
    <col min="10504" max="10504" width="12.5703125" style="111" customWidth="1"/>
    <col min="10505" max="10505" width="9.7109375" style="111" customWidth="1"/>
    <col min="10506" max="10506" width="8.140625" style="111" customWidth="1"/>
    <col min="10507" max="10753" width="9.140625" style="111"/>
    <col min="10754" max="10754" width="33.5703125" style="111" customWidth="1"/>
    <col min="10755" max="10755" width="6.140625" style="111" customWidth="1"/>
    <col min="10756" max="10756" width="5.140625" style="111" customWidth="1"/>
    <col min="10757" max="10757" width="5.28515625" style="111" customWidth="1"/>
    <col min="10758" max="10758" width="11.28515625" style="111" customWidth="1"/>
    <col min="10759" max="10759" width="6.85546875" style="111" customWidth="1"/>
    <col min="10760" max="10760" width="12.5703125" style="111" customWidth="1"/>
    <col min="10761" max="10761" width="9.7109375" style="111" customWidth="1"/>
    <col min="10762" max="10762" width="8.140625" style="111" customWidth="1"/>
    <col min="10763" max="11009" width="9.140625" style="111"/>
    <col min="11010" max="11010" width="33.5703125" style="111" customWidth="1"/>
    <col min="11011" max="11011" width="6.140625" style="111" customWidth="1"/>
    <col min="11012" max="11012" width="5.140625" style="111" customWidth="1"/>
    <col min="11013" max="11013" width="5.28515625" style="111" customWidth="1"/>
    <col min="11014" max="11014" width="11.28515625" style="111" customWidth="1"/>
    <col min="11015" max="11015" width="6.85546875" style="111" customWidth="1"/>
    <col min="11016" max="11016" width="12.5703125" style="111" customWidth="1"/>
    <col min="11017" max="11017" width="9.7109375" style="111" customWidth="1"/>
    <col min="11018" max="11018" width="8.140625" style="111" customWidth="1"/>
    <col min="11019" max="11265" width="9.140625" style="111"/>
    <col min="11266" max="11266" width="33.5703125" style="111" customWidth="1"/>
    <col min="11267" max="11267" width="6.140625" style="111" customWidth="1"/>
    <col min="11268" max="11268" width="5.140625" style="111" customWidth="1"/>
    <col min="11269" max="11269" width="5.28515625" style="111" customWidth="1"/>
    <col min="11270" max="11270" width="11.28515625" style="111" customWidth="1"/>
    <col min="11271" max="11271" width="6.85546875" style="111" customWidth="1"/>
    <col min="11272" max="11272" width="12.5703125" style="111" customWidth="1"/>
    <col min="11273" max="11273" width="9.7109375" style="111" customWidth="1"/>
    <col min="11274" max="11274" width="8.140625" style="111" customWidth="1"/>
    <col min="11275" max="11521" width="9.140625" style="111"/>
    <col min="11522" max="11522" width="33.5703125" style="111" customWidth="1"/>
    <col min="11523" max="11523" width="6.140625" style="111" customWidth="1"/>
    <col min="11524" max="11524" width="5.140625" style="111" customWidth="1"/>
    <col min="11525" max="11525" width="5.28515625" style="111" customWidth="1"/>
    <col min="11526" max="11526" width="11.28515625" style="111" customWidth="1"/>
    <col min="11527" max="11527" width="6.85546875" style="111" customWidth="1"/>
    <col min="11528" max="11528" width="12.5703125" style="111" customWidth="1"/>
    <col min="11529" max="11529" width="9.7109375" style="111" customWidth="1"/>
    <col min="11530" max="11530" width="8.140625" style="111" customWidth="1"/>
    <col min="11531" max="11777" width="9.140625" style="111"/>
    <col min="11778" max="11778" width="33.5703125" style="111" customWidth="1"/>
    <col min="11779" max="11779" width="6.140625" style="111" customWidth="1"/>
    <col min="11780" max="11780" width="5.140625" style="111" customWidth="1"/>
    <col min="11781" max="11781" width="5.28515625" style="111" customWidth="1"/>
    <col min="11782" max="11782" width="11.28515625" style="111" customWidth="1"/>
    <col min="11783" max="11783" width="6.85546875" style="111" customWidth="1"/>
    <col min="11784" max="11784" width="12.5703125" style="111" customWidth="1"/>
    <col min="11785" max="11785" width="9.7109375" style="111" customWidth="1"/>
    <col min="11786" max="11786" width="8.140625" style="111" customWidth="1"/>
    <col min="11787" max="12033" width="9.140625" style="111"/>
    <col min="12034" max="12034" width="33.5703125" style="111" customWidth="1"/>
    <col min="12035" max="12035" width="6.140625" style="111" customWidth="1"/>
    <col min="12036" max="12036" width="5.140625" style="111" customWidth="1"/>
    <col min="12037" max="12037" width="5.28515625" style="111" customWidth="1"/>
    <col min="12038" max="12038" width="11.28515625" style="111" customWidth="1"/>
    <col min="12039" max="12039" width="6.85546875" style="111" customWidth="1"/>
    <col min="12040" max="12040" width="12.5703125" style="111" customWidth="1"/>
    <col min="12041" max="12041" width="9.7109375" style="111" customWidth="1"/>
    <col min="12042" max="12042" width="8.140625" style="111" customWidth="1"/>
    <col min="12043" max="12289" width="9.140625" style="111"/>
    <col min="12290" max="12290" width="33.5703125" style="111" customWidth="1"/>
    <col min="12291" max="12291" width="6.140625" style="111" customWidth="1"/>
    <col min="12292" max="12292" width="5.140625" style="111" customWidth="1"/>
    <col min="12293" max="12293" width="5.28515625" style="111" customWidth="1"/>
    <col min="12294" max="12294" width="11.28515625" style="111" customWidth="1"/>
    <col min="12295" max="12295" width="6.85546875" style="111" customWidth="1"/>
    <col min="12296" max="12296" width="12.5703125" style="111" customWidth="1"/>
    <col min="12297" max="12297" width="9.7109375" style="111" customWidth="1"/>
    <col min="12298" max="12298" width="8.140625" style="111" customWidth="1"/>
    <col min="12299" max="12545" width="9.140625" style="111"/>
    <col min="12546" max="12546" width="33.5703125" style="111" customWidth="1"/>
    <col min="12547" max="12547" width="6.140625" style="111" customWidth="1"/>
    <col min="12548" max="12548" width="5.140625" style="111" customWidth="1"/>
    <col min="12549" max="12549" width="5.28515625" style="111" customWidth="1"/>
    <col min="12550" max="12550" width="11.28515625" style="111" customWidth="1"/>
    <col min="12551" max="12551" width="6.85546875" style="111" customWidth="1"/>
    <col min="12552" max="12552" width="12.5703125" style="111" customWidth="1"/>
    <col min="12553" max="12553" width="9.7109375" style="111" customWidth="1"/>
    <col min="12554" max="12554" width="8.140625" style="111" customWidth="1"/>
    <col min="12555" max="12801" width="9.140625" style="111"/>
    <col min="12802" max="12802" width="33.5703125" style="111" customWidth="1"/>
    <col min="12803" max="12803" width="6.140625" style="111" customWidth="1"/>
    <col min="12804" max="12804" width="5.140625" style="111" customWidth="1"/>
    <col min="12805" max="12805" width="5.28515625" style="111" customWidth="1"/>
    <col min="12806" max="12806" width="11.28515625" style="111" customWidth="1"/>
    <col min="12807" max="12807" width="6.85546875" style="111" customWidth="1"/>
    <col min="12808" max="12808" width="12.5703125" style="111" customWidth="1"/>
    <col min="12809" max="12809" width="9.7109375" style="111" customWidth="1"/>
    <col min="12810" max="12810" width="8.140625" style="111" customWidth="1"/>
    <col min="12811" max="13057" width="9.140625" style="111"/>
    <col min="13058" max="13058" width="33.5703125" style="111" customWidth="1"/>
    <col min="13059" max="13059" width="6.140625" style="111" customWidth="1"/>
    <col min="13060" max="13060" width="5.140625" style="111" customWidth="1"/>
    <col min="13061" max="13061" width="5.28515625" style="111" customWidth="1"/>
    <col min="13062" max="13062" width="11.28515625" style="111" customWidth="1"/>
    <col min="13063" max="13063" width="6.85546875" style="111" customWidth="1"/>
    <col min="13064" max="13064" width="12.5703125" style="111" customWidth="1"/>
    <col min="13065" max="13065" width="9.7109375" style="111" customWidth="1"/>
    <col min="13066" max="13066" width="8.140625" style="111" customWidth="1"/>
    <col min="13067" max="13313" width="9.140625" style="111"/>
    <col min="13314" max="13314" width="33.5703125" style="111" customWidth="1"/>
    <col min="13315" max="13315" width="6.140625" style="111" customWidth="1"/>
    <col min="13316" max="13316" width="5.140625" style="111" customWidth="1"/>
    <col min="13317" max="13317" width="5.28515625" style="111" customWidth="1"/>
    <col min="13318" max="13318" width="11.28515625" style="111" customWidth="1"/>
    <col min="13319" max="13319" width="6.85546875" style="111" customWidth="1"/>
    <col min="13320" max="13320" width="12.5703125" style="111" customWidth="1"/>
    <col min="13321" max="13321" width="9.7109375" style="111" customWidth="1"/>
    <col min="13322" max="13322" width="8.140625" style="111" customWidth="1"/>
    <col min="13323" max="13569" width="9.140625" style="111"/>
    <col min="13570" max="13570" width="33.5703125" style="111" customWidth="1"/>
    <col min="13571" max="13571" width="6.140625" style="111" customWidth="1"/>
    <col min="13572" max="13572" width="5.140625" style="111" customWidth="1"/>
    <col min="13573" max="13573" width="5.28515625" style="111" customWidth="1"/>
    <col min="13574" max="13574" width="11.28515625" style="111" customWidth="1"/>
    <col min="13575" max="13575" width="6.85546875" style="111" customWidth="1"/>
    <col min="13576" max="13576" width="12.5703125" style="111" customWidth="1"/>
    <col min="13577" max="13577" width="9.7109375" style="111" customWidth="1"/>
    <col min="13578" max="13578" width="8.140625" style="111" customWidth="1"/>
    <col min="13579" max="13825" width="9.140625" style="111"/>
    <col min="13826" max="13826" width="33.5703125" style="111" customWidth="1"/>
    <col min="13827" max="13827" width="6.140625" style="111" customWidth="1"/>
    <col min="13828" max="13828" width="5.140625" style="111" customWidth="1"/>
    <col min="13829" max="13829" width="5.28515625" style="111" customWidth="1"/>
    <col min="13830" max="13830" width="11.28515625" style="111" customWidth="1"/>
    <col min="13831" max="13831" width="6.85546875" style="111" customWidth="1"/>
    <col min="13832" max="13832" width="12.5703125" style="111" customWidth="1"/>
    <col min="13833" max="13833" width="9.7109375" style="111" customWidth="1"/>
    <col min="13834" max="13834" width="8.140625" style="111" customWidth="1"/>
    <col min="13835" max="14081" width="9.140625" style="111"/>
    <col min="14082" max="14082" width="33.5703125" style="111" customWidth="1"/>
    <col min="14083" max="14083" width="6.140625" style="111" customWidth="1"/>
    <col min="14084" max="14084" width="5.140625" style="111" customWidth="1"/>
    <col min="14085" max="14085" width="5.28515625" style="111" customWidth="1"/>
    <col min="14086" max="14086" width="11.28515625" style="111" customWidth="1"/>
    <col min="14087" max="14087" width="6.85546875" style="111" customWidth="1"/>
    <col min="14088" max="14088" width="12.5703125" style="111" customWidth="1"/>
    <col min="14089" max="14089" width="9.7109375" style="111" customWidth="1"/>
    <col min="14090" max="14090" width="8.140625" style="111" customWidth="1"/>
    <col min="14091" max="14337" width="9.140625" style="111"/>
    <col min="14338" max="14338" width="33.5703125" style="111" customWidth="1"/>
    <col min="14339" max="14339" width="6.140625" style="111" customWidth="1"/>
    <col min="14340" max="14340" width="5.140625" style="111" customWidth="1"/>
    <col min="14341" max="14341" width="5.28515625" style="111" customWidth="1"/>
    <col min="14342" max="14342" width="11.28515625" style="111" customWidth="1"/>
    <col min="14343" max="14343" width="6.85546875" style="111" customWidth="1"/>
    <col min="14344" max="14344" width="12.5703125" style="111" customWidth="1"/>
    <col min="14345" max="14345" width="9.7109375" style="111" customWidth="1"/>
    <col min="14346" max="14346" width="8.140625" style="111" customWidth="1"/>
    <col min="14347" max="14593" width="9.140625" style="111"/>
    <col min="14594" max="14594" width="33.5703125" style="111" customWidth="1"/>
    <col min="14595" max="14595" width="6.140625" style="111" customWidth="1"/>
    <col min="14596" max="14596" width="5.140625" style="111" customWidth="1"/>
    <col min="14597" max="14597" width="5.28515625" style="111" customWidth="1"/>
    <col min="14598" max="14598" width="11.28515625" style="111" customWidth="1"/>
    <col min="14599" max="14599" width="6.85546875" style="111" customWidth="1"/>
    <col min="14600" max="14600" width="12.5703125" style="111" customWidth="1"/>
    <col min="14601" max="14601" width="9.7109375" style="111" customWidth="1"/>
    <col min="14602" max="14602" width="8.140625" style="111" customWidth="1"/>
    <col min="14603" max="14849" width="9.140625" style="111"/>
    <col min="14850" max="14850" width="33.5703125" style="111" customWidth="1"/>
    <col min="14851" max="14851" width="6.140625" style="111" customWidth="1"/>
    <col min="14852" max="14852" width="5.140625" style="111" customWidth="1"/>
    <col min="14853" max="14853" width="5.28515625" style="111" customWidth="1"/>
    <col min="14854" max="14854" width="11.28515625" style="111" customWidth="1"/>
    <col min="14855" max="14855" width="6.85546875" style="111" customWidth="1"/>
    <col min="14856" max="14856" width="12.5703125" style="111" customWidth="1"/>
    <col min="14857" max="14857" width="9.7109375" style="111" customWidth="1"/>
    <col min="14858" max="14858" width="8.140625" style="111" customWidth="1"/>
    <col min="14859" max="15105" width="9.140625" style="111"/>
    <col min="15106" max="15106" width="33.5703125" style="111" customWidth="1"/>
    <col min="15107" max="15107" width="6.140625" style="111" customWidth="1"/>
    <col min="15108" max="15108" width="5.140625" style="111" customWidth="1"/>
    <col min="15109" max="15109" width="5.28515625" style="111" customWidth="1"/>
    <col min="15110" max="15110" width="11.28515625" style="111" customWidth="1"/>
    <col min="15111" max="15111" width="6.85546875" style="111" customWidth="1"/>
    <col min="15112" max="15112" width="12.5703125" style="111" customWidth="1"/>
    <col min="15113" max="15113" width="9.7109375" style="111" customWidth="1"/>
    <col min="15114" max="15114" width="8.140625" style="111" customWidth="1"/>
    <col min="15115" max="15361" width="9.140625" style="111"/>
    <col min="15362" max="15362" width="33.5703125" style="111" customWidth="1"/>
    <col min="15363" max="15363" width="6.140625" style="111" customWidth="1"/>
    <col min="15364" max="15364" width="5.140625" style="111" customWidth="1"/>
    <col min="15365" max="15365" width="5.28515625" style="111" customWidth="1"/>
    <col min="15366" max="15366" width="11.28515625" style="111" customWidth="1"/>
    <col min="15367" max="15367" width="6.85546875" style="111" customWidth="1"/>
    <col min="15368" max="15368" width="12.5703125" style="111" customWidth="1"/>
    <col min="15369" max="15369" width="9.7109375" style="111" customWidth="1"/>
    <col min="15370" max="15370" width="8.140625" style="111" customWidth="1"/>
    <col min="15371" max="15617" width="9.140625" style="111"/>
    <col min="15618" max="15618" width="33.5703125" style="111" customWidth="1"/>
    <col min="15619" max="15619" width="6.140625" style="111" customWidth="1"/>
    <col min="15620" max="15620" width="5.140625" style="111" customWidth="1"/>
    <col min="15621" max="15621" width="5.28515625" style="111" customWidth="1"/>
    <col min="15622" max="15622" width="11.28515625" style="111" customWidth="1"/>
    <col min="15623" max="15623" width="6.85546875" style="111" customWidth="1"/>
    <col min="15624" max="15624" width="12.5703125" style="111" customWidth="1"/>
    <col min="15625" max="15625" width="9.7109375" style="111" customWidth="1"/>
    <col min="15626" max="15626" width="8.140625" style="111" customWidth="1"/>
    <col min="15627" max="15873" width="9.140625" style="111"/>
    <col min="15874" max="15874" width="33.5703125" style="111" customWidth="1"/>
    <col min="15875" max="15875" width="6.140625" style="111" customWidth="1"/>
    <col min="15876" max="15876" width="5.140625" style="111" customWidth="1"/>
    <col min="15877" max="15877" width="5.28515625" style="111" customWidth="1"/>
    <col min="15878" max="15878" width="11.28515625" style="111" customWidth="1"/>
    <col min="15879" max="15879" width="6.85546875" style="111" customWidth="1"/>
    <col min="15880" max="15880" width="12.5703125" style="111" customWidth="1"/>
    <col min="15881" max="15881" width="9.7109375" style="111" customWidth="1"/>
    <col min="15882" max="15882" width="8.140625" style="111" customWidth="1"/>
    <col min="15883" max="16129" width="9.140625" style="111"/>
    <col min="16130" max="16130" width="33.5703125" style="111" customWidth="1"/>
    <col min="16131" max="16131" width="6.140625" style="111" customWidth="1"/>
    <col min="16132" max="16132" width="5.140625" style="111" customWidth="1"/>
    <col min="16133" max="16133" width="5.28515625" style="111" customWidth="1"/>
    <col min="16134" max="16134" width="11.28515625" style="111" customWidth="1"/>
    <col min="16135" max="16135" width="6.85546875" style="111" customWidth="1"/>
    <col min="16136" max="16136" width="12.5703125" style="111" customWidth="1"/>
    <col min="16137" max="16137" width="9.7109375" style="111" customWidth="1"/>
    <col min="16138" max="16138" width="8.140625" style="111" customWidth="1"/>
    <col min="16139" max="16384" width="9.140625" style="111"/>
  </cols>
  <sheetData>
    <row r="1" spans="1:21" ht="26.25" customHeight="1">
      <c r="P1" s="269" t="s">
        <v>405</v>
      </c>
      <c r="Q1" s="269"/>
      <c r="R1" s="269"/>
      <c r="S1" s="269"/>
      <c r="T1" s="110"/>
      <c r="U1" s="110"/>
    </row>
    <row r="2" spans="1:21">
      <c r="D2" s="112"/>
      <c r="E2" s="113"/>
      <c r="F2" s="113"/>
      <c r="G2" s="112"/>
      <c r="H2" s="112"/>
    </row>
    <row r="3" spans="1:21" ht="43.15" customHeight="1" thickBot="1">
      <c r="A3" s="270" t="s">
        <v>406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</row>
    <row r="4" spans="1:21" s="118" customFormat="1" ht="84.75" customHeight="1">
      <c r="A4" s="114" t="s">
        <v>287</v>
      </c>
      <c r="B4" s="115" t="s">
        <v>288</v>
      </c>
      <c r="C4" s="115" t="s">
        <v>407</v>
      </c>
      <c r="D4" s="115" t="s">
        <v>408</v>
      </c>
      <c r="E4" s="115" t="s">
        <v>409</v>
      </c>
      <c r="F4" s="115" t="s">
        <v>410</v>
      </c>
      <c r="G4" s="116" t="s">
        <v>411</v>
      </c>
      <c r="H4" s="116" t="s">
        <v>310</v>
      </c>
      <c r="I4" s="116" t="s">
        <v>311</v>
      </c>
      <c r="J4" s="116" t="s">
        <v>312</v>
      </c>
      <c r="K4" s="117" t="s">
        <v>313</v>
      </c>
      <c r="L4" s="117" t="s">
        <v>314</v>
      </c>
      <c r="M4" s="117" t="s">
        <v>315</v>
      </c>
      <c r="N4" s="117" t="s">
        <v>316</v>
      </c>
      <c r="O4" s="117" t="s">
        <v>317</v>
      </c>
      <c r="P4" s="117" t="s">
        <v>318</v>
      </c>
      <c r="Q4" s="117" t="s">
        <v>320</v>
      </c>
      <c r="R4" s="117" t="s">
        <v>321</v>
      </c>
      <c r="S4" s="117" t="s">
        <v>322</v>
      </c>
    </row>
    <row r="5" spans="1:21" s="122" customFormat="1" ht="30" customHeight="1">
      <c r="A5" s="119" t="s">
        <v>331</v>
      </c>
      <c r="B5" s="120" t="s">
        <v>332</v>
      </c>
      <c r="C5" s="120"/>
      <c r="D5" s="120"/>
      <c r="E5" s="120"/>
      <c r="F5" s="120"/>
      <c r="G5" s="121">
        <f>G6+G38+G79+G85+G73</f>
        <v>32182.1</v>
      </c>
      <c r="H5" s="121">
        <f>H6+H38+H79+H85+H73</f>
        <v>34259.600000000006</v>
      </c>
      <c r="I5" s="121">
        <f>I6+I38+I79+I85+I73</f>
        <v>34259.62545</v>
      </c>
      <c r="J5" s="121">
        <f>J6+J38+J79+J85+J73</f>
        <v>31772.223319999997</v>
      </c>
      <c r="K5" s="121">
        <f>I5-H5</f>
        <v>2.5449999993725214E-2</v>
      </c>
      <c r="L5" s="121">
        <f>I5/H5*100</f>
        <v>100.00007428574762</v>
      </c>
      <c r="M5" s="121">
        <f>J5-I5</f>
        <v>-2487.4021300000022</v>
      </c>
      <c r="N5" s="121">
        <f>J5/I5*100</f>
        <v>92.73955246933383</v>
      </c>
      <c r="O5" s="121">
        <f>J5/G5*100</f>
        <v>98.726383051447854</v>
      </c>
      <c r="P5" s="121">
        <f>J5/H5*100</f>
        <v>92.739621361603724</v>
      </c>
      <c r="Q5" s="121">
        <f>H5-G5</f>
        <v>2077.5000000000073</v>
      </c>
      <c r="R5" s="121">
        <f>H5/G5*100</f>
        <v>106.45545194378244</v>
      </c>
      <c r="S5" s="121">
        <f t="shared" ref="S5:S11" si="0">J5/$J$386*100</f>
        <v>29.992681472778383</v>
      </c>
    </row>
    <row r="6" spans="1:21" s="122" customFormat="1" ht="46.5" customHeight="1">
      <c r="A6" s="123" t="s">
        <v>412</v>
      </c>
      <c r="B6" s="124" t="s">
        <v>332</v>
      </c>
      <c r="C6" s="124" t="s">
        <v>338</v>
      </c>
      <c r="D6" s="124"/>
      <c r="E6" s="124"/>
      <c r="F6" s="124"/>
      <c r="G6" s="125">
        <f t="shared" ref="G6:J7" si="1">G7</f>
        <v>9128</v>
      </c>
      <c r="H6" s="125">
        <f>H7</f>
        <v>9313</v>
      </c>
      <c r="I6" s="125">
        <f t="shared" si="1"/>
        <v>9312.977350000001</v>
      </c>
      <c r="J6" s="125">
        <f t="shared" si="1"/>
        <v>9072.9731999999985</v>
      </c>
      <c r="K6" s="125">
        <f t="shared" ref="K6:K32" si="2">I6-H6</f>
        <v>-2.2649999998975545E-2</v>
      </c>
      <c r="L6" s="125">
        <f t="shared" ref="L6:L32" si="3">I6/H6*100</f>
        <v>99.999756791581675</v>
      </c>
      <c r="M6" s="125">
        <f t="shared" ref="M6:M32" si="4">J6-I6</f>
        <v>-240.00415000000248</v>
      </c>
      <c r="N6" s="125">
        <f t="shared" ref="N6:N32" si="5">J6/I6*100</f>
        <v>97.422906327588109</v>
      </c>
      <c r="O6" s="125">
        <f t="shared" ref="O6:O11" si="6">J6/G6*100</f>
        <v>99.397164767747569</v>
      </c>
      <c r="P6" s="125">
        <f t="shared" ref="P6:P32" si="7">J6/H6*100</f>
        <v>97.422669386878553</v>
      </c>
      <c r="Q6" s="125">
        <f t="shared" ref="Q6:Q32" si="8">H6-G6</f>
        <v>185</v>
      </c>
      <c r="R6" s="125">
        <f t="shared" ref="R6:R11" si="9">H6/G6*100</f>
        <v>102.02673093777388</v>
      </c>
      <c r="S6" s="125">
        <f t="shared" si="0"/>
        <v>8.5648017911091134</v>
      </c>
    </row>
    <row r="7" spans="1:21" ht="30.75" customHeight="1">
      <c r="A7" s="126" t="s">
        <v>413</v>
      </c>
      <c r="B7" s="127" t="s">
        <v>332</v>
      </c>
      <c r="C7" s="127" t="s">
        <v>338</v>
      </c>
      <c r="D7" s="127" t="s">
        <v>414</v>
      </c>
      <c r="E7" s="127"/>
      <c r="F7" s="127"/>
      <c r="G7" s="128">
        <f t="shared" si="1"/>
        <v>9128</v>
      </c>
      <c r="H7" s="128">
        <f>H8</f>
        <v>9313</v>
      </c>
      <c r="I7" s="128">
        <f t="shared" si="1"/>
        <v>9312.977350000001</v>
      </c>
      <c r="J7" s="128">
        <f t="shared" si="1"/>
        <v>9072.9731999999985</v>
      </c>
      <c r="K7" s="128">
        <f t="shared" si="2"/>
        <v>-2.2649999998975545E-2</v>
      </c>
      <c r="L7" s="128">
        <f t="shared" si="3"/>
        <v>99.999756791581675</v>
      </c>
      <c r="M7" s="128">
        <f t="shared" si="4"/>
        <v>-240.00415000000248</v>
      </c>
      <c r="N7" s="128">
        <f t="shared" si="5"/>
        <v>97.422906327588109</v>
      </c>
      <c r="O7" s="128">
        <f t="shared" si="6"/>
        <v>99.397164767747569</v>
      </c>
      <c r="P7" s="128">
        <f t="shared" si="7"/>
        <v>97.422669386878553</v>
      </c>
      <c r="Q7" s="128">
        <f t="shared" si="8"/>
        <v>185</v>
      </c>
      <c r="R7" s="128">
        <f t="shared" si="9"/>
        <v>102.02673093777388</v>
      </c>
      <c r="S7" s="128">
        <f t="shared" si="0"/>
        <v>8.5648017911091134</v>
      </c>
    </row>
    <row r="8" spans="1:21" ht="57" customHeight="1">
      <c r="A8" s="126" t="s">
        <v>415</v>
      </c>
      <c r="B8" s="127" t="s">
        <v>332</v>
      </c>
      <c r="C8" s="127" t="s">
        <v>338</v>
      </c>
      <c r="D8" s="127" t="s">
        <v>416</v>
      </c>
      <c r="E8" s="129"/>
      <c r="F8" s="129"/>
      <c r="G8" s="128">
        <f>G9+G19+G33</f>
        <v>9128</v>
      </c>
      <c r="H8" s="128">
        <f>H9+H19+H33</f>
        <v>9313</v>
      </c>
      <c r="I8" s="128">
        <f>I9+I19+I33</f>
        <v>9312.977350000001</v>
      </c>
      <c r="J8" s="128">
        <f>J9+J19+J33</f>
        <v>9072.9731999999985</v>
      </c>
      <c r="K8" s="128">
        <f t="shared" si="2"/>
        <v>-2.2649999998975545E-2</v>
      </c>
      <c r="L8" s="128">
        <f t="shared" si="3"/>
        <v>99.999756791581675</v>
      </c>
      <c r="M8" s="128">
        <f t="shared" si="4"/>
        <v>-240.00415000000248</v>
      </c>
      <c r="N8" s="128">
        <f t="shared" si="5"/>
        <v>97.422906327588109</v>
      </c>
      <c r="O8" s="128">
        <f t="shared" si="6"/>
        <v>99.397164767747569</v>
      </c>
      <c r="P8" s="128">
        <f t="shared" si="7"/>
        <v>97.422669386878553</v>
      </c>
      <c r="Q8" s="128">
        <f t="shared" si="8"/>
        <v>185</v>
      </c>
      <c r="R8" s="128">
        <f t="shared" si="9"/>
        <v>102.02673093777388</v>
      </c>
      <c r="S8" s="128">
        <f t="shared" si="0"/>
        <v>8.5648017911091134</v>
      </c>
    </row>
    <row r="9" spans="1:21" ht="18.75" customHeight="1">
      <c r="A9" s="130" t="s">
        <v>417</v>
      </c>
      <c r="B9" s="127" t="s">
        <v>332</v>
      </c>
      <c r="C9" s="127" t="s">
        <v>338</v>
      </c>
      <c r="D9" s="127" t="s">
        <v>418</v>
      </c>
      <c r="E9" s="127"/>
      <c r="F9" s="127"/>
      <c r="G9" s="128">
        <f>G10+G17</f>
        <v>2973</v>
      </c>
      <c r="H9" s="128">
        <f>H10+H17</f>
        <v>2994.2999999999997</v>
      </c>
      <c r="I9" s="128">
        <f>I10+I17</f>
        <v>2994.2739499999998</v>
      </c>
      <c r="J9" s="128">
        <f>J10+J17</f>
        <v>2769.0256899999995</v>
      </c>
      <c r="K9" s="128">
        <f t="shared" si="2"/>
        <v>-2.6049999999941065E-2</v>
      </c>
      <c r="L9" s="128">
        <f t="shared" si="3"/>
        <v>99.999130013692678</v>
      </c>
      <c r="M9" s="128">
        <f t="shared" si="4"/>
        <v>-225.2482600000003</v>
      </c>
      <c r="N9" s="128">
        <f t="shared" si="5"/>
        <v>92.477366341179291</v>
      </c>
      <c r="O9" s="128">
        <f t="shared" si="6"/>
        <v>93.139108308106273</v>
      </c>
      <c r="P9" s="128">
        <f t="shared" si="7"/>
        <v>92.476561800754766</v>
      </c>
      <c r="Q9" s="128">
        <f t="shared" si="8"/>
        <v>21.299999999999727</v>
      </c>
      <c r="R9" s="128">
        <f t="shared" si="9"/>
        <v>100.7164480322906</v>
      </c>
      <c r="S9" s="128">
        <f t="shared" si="0"/>
        <v>2.613934337350313</v>
      </c>
    </row>
    <row r="10" spans="1:21" ht="75.599999999999994" customHeight="1">
      <c r="A10" s="131" t="s">
        <v>419</v>
      </c>
      <c r="B10" s="127" t="s">
        <v>332</v>
      </c>
      <c r="C10" s="127" t="s">
        <v>338</v>
      </c>
      <c r="D10" s="127" t="s">
        <v>418</v>
      </c>
      <c r="E10" s="127" t="s">
        <v>420</v>
      </c>
      <c r="F10" s="127"/>
      <c r="G10" s="128">
        <f>G11</f>
        <v>2973</v>
      </c>
      <c r="H10" s="128">
        <f>H11</f>
        <v>2990.1</v>
      </c>
      <c r="I10" s="128">
        <f>I11</f>
        <v>2990.07395</v>
      </c>
      <c r="J10" s="128">
        <f>J11</f>
        <v>2764.8256899999997</v>
      </c>
      <c r="K10" s="128">
        <f t="shared" si="2"/>
        <v>-2.6049999999941065E-2</v>
      </c>
      <c r="L10" s="128">
        <f t="shared" si="3"/>
        <v>99.999128791679212</v>
      </c>
      <c r="M10" s="128">
        <f t="shared" si="4"/>
        <v>-225.2482600000003</v>
      </c>
      <c r="N10" s="128">
        <f t="shared" si="5"/>
        <v>92.466799692362116</v>
      </c>
      <c r="O10" s="128">
        <f t="shared" si="6"/>
        <v>92.997836865119396</v>
      </c>
      <c r="P10" s="128">
        <f t="shared" si="7"/>
        <v>92.465994113909218</v>
      </c>
      <c r="Q10" s="128">
        <f t="shared" si="8"/>
        <v>17.099999999999909</v>
      </c>
      <c r="R10" s="128">
        <f t="shared" si="9"/>
        <v>100.57517658930372</v>
      </c>
      <c r="S10" s="128">
        <f t="shared" si="0"/>
        <v>2.6099695766561388</v>
      </c>
    </row>
    <row r="11" spans="1:21" ht="45.75" customHeight="1">
      <c r="A11" s="126" t="s">
        <v>421</v>
      </c>
      <c r="B11" s="127" t="s">
        <v>332</v>
      </c>
      <c r="C11" s="127" t="s">
        <v>338</v>
      </c>
      <c r="D11" s="127" t="s">
        <v>418</v>
      </c>
      <c r="E11" s="127" t="s">
        <v>422</v>
      </c>
      <c r="F11" s="127"/>
      <c r="G11" s="132">
        <v>2973</v>
      </c>
      <c r="H11" s="132">
        <v>2990.1</v>
      </c>
      <c r="I11" s="132">
        <f>I12+I13+I14+I15+I16</f>
        <v>2990.07395</v>
      </c>
      <c r="J11" s="132">
        <f>J12+J13+J14+J15+J16</f>
        <v>2764.8256899999997</v>
      </c>
      <c r="K11" s="128">
        <f t="shared" si="2"/>
        <v>-2.6049999999941065E-2</v>
      </c>
      <c r="L11" s="128">
        <f t="shared" si="3"/>
        <v>99.999128791679212</v>
      </c>
      <c r="M11" s="128">
        <f t="shared" si="4"/>
        <v>-225.2482600000003</v>
      </c>
      <c r="N11" s="128">
        <f t="shared" si="5"/>
        <v>92.466799692362116</v>
      </c>
      <c r="O11" s="128">
        <f t="shared" si="6"/>
        <v>92.997836865119396</v>
      </c>
      <c r="P11" s="128">
        <f t="shared" si="7"/>
        <v>92.465994113909218</v>
      </c>
      <c r="Q11" s="128">
        <f t="shared" si="8"/>
        <v>17.099999999999909</v>
      </c>
      <c r="R11" s="128">
        <f t="shared" si="9"/>
        <v>100.57517658930372</v>
      </c>
      <c r="S11" s="128">
        <f t="shared" si="0"/>
        <v>2.6099695766561388</v>
      </c>
    </row>
    <row r="12" spans="1:21" ht="24" customHeight="1">
      <c r="A12" s="126"/>
      <c r="B12" s="127" t="s">
        <v>332</v>
      </c>
      <c r="C12" s="127" t="s">
        <v>338</v>
      </c>
      <c r="D12" s="127" t="s">
        <v>418</v>
      </c>
      <c r="E12" s="127" t="s">
        <v>423</v>
      </c>
      <c r="F12" s="127" t="s">
        <v>424</v>
      </c>
      <c r="G12" s="132"/>
      <c r="H12" s="132"/>
      <c r="I12" s="132">
        <v>2207.5439999999999</v>
      </c>
      <c r="J12" s="132">
        <v>2047.9337399999999</v>
      </c>
      <c r="K12" s="128"/>
      <c r="L12" s="128"/>
      <c r="M12" s="128">
        <f t="shared" si="4"/>
        <v>-159.61025999999993</v>
      </c>
      <c r="N12" s="128"/>
      <c r="O12" s="128"/>
      <c r="P12" s="128"/>
      <c r="Q12" s="128"/>
      <c r="R12" s="128"/>
      <c r="S12" s="128"/>
    </row>
    <row r="13" spans="1:21" ht="21" customHeight="1">
      <c r="A13" s="126"/>
      <c r="B13" s="127" t="s">
        <v>332</v>
      </c>
      <c r="C13" s="127" t="s">
        <v>338</v>
      </c>
      <c r="D13" s="127" t="s">
        <v>418</v>
      </c>
      <c r="E13" s="127" t="s">
        <v>425</v>
      </c>
      <c r="F13" s="127" t="s">
        <v>426</v>
      </c>
      <c r="G13" s="132"/>
      <c r="H13" s="132"/>
      <c r="I13" s="132">
        <v>2.7</v>
      </c>
      <c r="J13" s="132">
        <v>2.7</v>
      </c>
      <c r="K13" s="128"/>
      <c r="L13" s="128"/>
      <c r="M13" s="128">
        <f t="shared" si="4"/>
        <v>0</v>
      </c>
      <c r="N13" s="128"/>
      <c r="O13" s="128"/>
      <c r="P13" s="128"/>
      <c r="Q13" s="128"/>
      <c r="R13" s="128"/>
      <c r="S13" s="128"/>
    </row>
    <row r="14" spans="1:21" ht="25.5" customHeight="1">
      <c r="A14" s="126"/>
      <c r="B14" s="127" t="s">
        <v>332</v>
      </c>
      <c r="C14" s="127" t="s">
        <v>338</v>
      </c>
      <c r="D14" s="127" t="s">
        <v>418</v>
      </c>
      <c r="E14" s="127" t="s">
        <v>425</v>
      </c>
      <c r="F14" s="127" t="s">
        <v>427</v>
      </c>
      <c r="G14" s="132"/>
      <c r="H14" s="132"/>
      <c r="I14" s="132">
        <v>52.132950000000001</v>
      </c>
      <c r="J14" s="132">
        <v>52.132950000000001</v>
      </c>
      <c r="K14" s="128"/>
      <c r="L14" s="128"/>
      <c r="M14" s="128">
        <f t="shared" si="4"/>
        <v>0</v>
      </c>
      <c r="N14" s="128"/>
      <c r="O14" s="128"/>
      <c r="P14" s="128"/>
      <c r="Q14" s="128"/>
      <c r="R14" s="128"/>
      <c r="S14" s="128"/>
    </row>
    <row r="15" spans="1:21" ht="20.25" customHeight="1">
      <c r="A15" s="126"/>
      <c r="B15" s="127" t="s">
        <v>332</v>
      </c>
      <c r="C15" s="127" t="s">
        <v>338</v>
      </c>
      <c r="D15" s="127" t="s">
        <v>418</v>
      </c>
      <c r="E15" s="127" t="s">
        <v>425</v>
      </c>
      <c r="F15" s="127" t="s">
        <v>428</v>
      </c>
      <c r="G15" s="132"/>
      <c r="H15" s="132"/>
      <c r="I15" s="132">
        <v>43.584000000000003</v>
      </c>
      <c r="J15" s="132">
        <v>43.584000000000003</v>
      </c>
      <c r="K15" s="128"/>
      <c r="L15" s="128"/>
      <c r="M15" s="128">
        <f t="shared" si="4"/>
        <v>0</v>
      </c>
      <c r="N15" s="128"/>
      <c r="O15" s="128"/>
      <c r="P15" s="128"/>
      <c r="Q15" s="128"/>
      <c r="R15" s="128"/>
      <c r="S15" s="128"/>
    </row>
    <row r="16" spans="1:21" ht="23.25" customHeight="1">
      <c r="A16" s="126"/>
      <c r="B16" s="127" t="s">
        <v>332</v>
      </c>
      <c r="C16" s="127" t="s">
        <v>338</v>
      </c>
      <c r="D16" s="127" t="s">
        <v>418</v>
      </c>
      <c r="E16" s="127" t="s">
        <v>429</v>
      </c>
      <c r="F16" s="127" t="s">
        <v>430</v>
      </c>
      <c r="G16" s="132"/>
      <c r="H16" s="132"/>
      <c r="I16" s="132">
        <v>684.11300000000006</v>
      </c>
      <c r="J16" s="132">
        <v>618.47500000000002</v>
      </c>
      <c r="K16" s="128"/>
      <c r="L16" s="128"/>
      <c r="M16" s="128">
        <f t="shared" si="4"/>
        <v>-65.638000000000034</v>
      </c>
      <c r="N16" s="128"/>
      <c r="O16" s="128"/>
      <c r="P16" s="128"/>
      <c r="Q16" s="128"/>
      <c r="R16" s="128"/>
      <c r="S16" s="128"/>
    </row>
    <row r="17" spans="1:19" ht="48.75" customHeight="1">
      <c r="A17" s="126" t="s">
        <v>431</v>
      </c>
      <c r="B17" s="127" t="s">
        <v>332</v>
      </c>
      <c r="C17" s="127" t="s">
        <v>338</v>
      </c>
      <c r="D17" s="127" t="s">
        <v>418</v>
      </c>
      <c r="E17" s="127" t="s">
        <v>432</v>
      </c>
      <c r="F17" s="127"/>
      <c r="G17" s="132">
        <f>SUM(G18)</f>
        <v>0</v>
      </c>
      <c r="H17" s="132">
        <f>SUM(H18)</f>
        <v>4.2</v>
      </c>
      <c r="I17" s="132">
        <f>SUM(I18)</f>
        <v>4.2</v>
      </c>
      <c r="J17" s="132">
        <f>SUM(J18)</f>
        <v>4.2</v>
      </c>
      <c r="K17" s="128">
        <f t="shared" si="2"/>
        <v>0</v>
      </c>
      <c r="L17" s="128">
        <f t="shared" si="3"/>
        <v>100</v>
      </c>
      <c r="M17" s="128">
        <f t="shared" si="4"/>
        <v>0</v>
      </c>
      <c r="N17" s="128">
        <f t="shared" si="5"/>
        <v>100</v>
      </c>
      <c r="O17" s="128"/>
      <c r="P17" s="128">
        <f t="shared" si="7"/>
        <v>100</v>
      </c>
      <c r="Q17" s="128">
        <f t="shared" si="8"/>
        <v>4.2</v>
      </c>
      <c r="R17" s="128"/>
      <c r="S17" s="128">
        <f>J17/$J$386*100</f>
        <v>3.9647606941744613E-3</v>
      </c>
    </row>
    <row r="18" spans="1:19" ht="47.25" customHeight="1">
      <c r="A18" s="126" t="s">
        <v>433</v>
      </c>
      <c r="B18" s="127" t="s">
        <v>332</v>
      </c>
      <c r="C18" s="127" t="s">
        <v>338</v>
      </c>
      <c r="D18" s="127" t="s">
        <v>418</v>
      </c>
      <c r="E18" s="127" t="s">
        <v>434</v>
      </c>
      <c r="F18" s="127" t="s">
        <v>435</v>
      </c>
      <c r="G18" s="132"/>
      <c r="H18" s="132">
        <v>4.2</v>
      </c>
      <c r="I18" s="132">
        <v>4.2</v>
      </c>
      <c r="J18" s="132">
        <v>4.2</v>
      </c>
      <c r="K18" s="128">
        <f t="shared" si="2"/>
        <v>0</v>
      </c>
      <c r="L18" s="128">
        <f t="shared" si="3"/>
        <v>100</v>
      </c>
      <c r="M18" s="128">
        <f t="shared" si="4"/>
        <v>0</v>
      </c>
      <c r="N18" s="128">
        <f t="shared" si="5"/>
        <v>100</v>
      </c>
      <c r="O18" s="128"/>
      <c r="P18" s="128">
        <f t="shared" si="7"/>
        <v>100</v>
      </c>
      <c r="Q18" s="128">
        <f t="shared" si="8"/>
        <v>4.2</v>
      </c>
      <c r="R18" s="128"/>
      <c r="S18" s="128">
        <f>J18/$J$386*100</f>
        <v>3.9647606941744613E-3</v>
      </c>
    </row>
    <row r="19" spans="1:19" ht="36.75" customHeight="1">
      <c r="A19" s="126" t="s">
        <v>436</v>
      </c>
      <c r="B19" s="127" t="s">
        <v>332</v>
      </c>
      <c r="C19" s="127" t="s">
        <v>338</v>
      </c>
      <c r="D19" s="127" t="s">
        <v>437</v>
      </c>
      <c r="E19" s="127"/>
      <c r="F19" s="127"/>
      <c r="G19" s="132">
        <f>G20+G29+G31</f>
        <v>6155</v>
      </c>
      <c r="H19" s="132">
        <f>H20+H29+H31</f>
        <v>6245.8000000000011</v>
      </c>
      <c r="I19" s="132">
        <f>I20+I29+I31</f>
        <v>6245.7914000000001</v>
      </c>
      <c r="J19" s="132">
        <f>J20+J29+J31</f>
        <v>6231.0355099999988</v>
      </c>
      <c r="K19" s="128">
        <f t="shared" si="2"/>
        <v>-8.6000000010244548E-3</v>
      </c>
      <c r="L19" s="128">
        <f t="shared" si="3"/>
        <v>99.999862307470593</v>
      </c>
      <c r="M19" s="128">
        <f t="shared" si="4"/>
        <v>-14.755890000001273</v>
      </c>
      <c r="N19" s="128">
        <f t="shared" si="5"/>
        <v>99.763746672679446</v>
      </c>
      <c r="O19" s="128">
        <f>J19/G19*100</f>
        <v>101.23534541023555</v>
      </c>
      <c r="P19" s="128">
        <f t="shared" si="7"/>
        <v>99.76360930545323</v>
      </c>
      <c r="Q19" s="128">
        <f t="shared" si="8"/>
        <v>90.800000000001091</v>
      </c>
      <c r="R19" s="128">
        <f>H19/G19*100</f>
        <v>101.47522339561334</v>
      </c>
      <c r="S19" s="128">
        <f>J19/$J$386*100</f>
        <v>5.8820392081079316</v>
      </c>
    </row>
    <row r="20" spans="1:19" ht="78.599999999999994" customHeight="1">
      <c r="A20" s="131" t="s">
        <v>419</v>
      </c>
      <c r="B20" s="127" t="s">
        <v>332</v>
      </c>
      <c r="C20" s="127" t="s">
        <v>338</v>
      </c>
      <c r="D20" s="127" t="s">
        <v>437</v>
      </c>
      <c r="E20" s="127" t="s">
        <v>420</v>
      </c>
      <c r="F20" s="127"/>
      <c r="G20" s="132">
        <f>G21</f>
        <v>6155</v>
      </c>
      <c r="H20" s="132">
        <f>H21</f>
        <v>6190.1</v>
      </c>
      <c r="I20" s="132">
        <f>I21</f>
        <v>6190.0864000000001</v>
      </c>
      <c r="J20" s="132">
        <f>J21</f>
        <v>6175.3305099999989</v>
      </c>
      <c r="K20" s="128">
        <f t="shared" si="2"/>
        <v>-1.3600000000224099E-2</v>
      </c>
      <c r="L20" s="128">
        <f t="shared" si="3"/>
        <v>99.999780294340951</v>
      </c>
      <c r="M20" s="128">
        <f t="shared" si="4"/>
        <v>-14.755890000001273</v>
      </c>
      <c r="N20" s="128">
        <f t="shared" si="5"/>
        <v>99.761620613243764</v>
      </c>
      <c r="O20" s="128">
        <f>J20/G20*100</f>
        <v>100.33030885458976</v>
      </c>
      <c r="P20" s="128">
        <f t="shared" si="7"/>
        <v>99.761401431317722</v>
      </c>
      <c r="Q20" s="128">
        <f t="shared" si="8"/>
        <v>35.100000000000364</v>
      </c>
      <c r="R20" s="128">
        <f>H20/G20*100</f>
        <v>100.57026807473599</v>
      </c>
      <c r="S20" s="128">
        <f>J20/$J$386*100</f>
        <v>5.8294542094248394</v>
      </c>
    </row>
    <row r="21" spans="1:19" ht="42.75" customHeight="1">
      <c r="A21" s="126" t="s">
        <v>421</v>
      </c>
      <c r="B21" s="127" t="s">
        <v>332</v>
      </c>
      <c r="C21" s="127" t="s">
        <v>338</v>
      </c>
      <c r="D21" s="127" t="s">
        <v>437</v>
      </c>
      <c r="E21" s="127" t="s">
        <v>422</v>
      </c>
      <c r="F21" s="127"/>
      <c r="G21" s="132">
        <v>6155</v>
      </c>
      <c r="H21" s="132">
        <v>6190.1</v>
      </c>
      <c r="I21" s="132">
        <f>I22+I23+I24+I25+I26+I27+I28</f>
        <v>6190.0864000000001</v>
      </c>
      <c r="J21" s="132">
        <f>J22+J23+J24+J25+J26+J27+J28</f>
        <v>6175.3305099999989</v>
      </c>
      <c r="K21" s="128">
        <f t="shared" si="2"/>
        <v>-1.3600000000224099E-2</v>
      </c>
      <c r="L21" s="128">
        <f t="shared" si="3"/>
        <v>99.999780294340951</v>
      </c>
      <c r="M21" s="128">
        <f t="shared" si="4"/>
        <v>-14.755890000001273</v>
      </c>
      <c r="N21" s="128">
        <f t="shared" si="5"/>
        <v>99.761620613243764</v>
      </c>
      <c r="O21" s="128">
        <f>J21/G21*100</f>
        <v>100.33030885458976</v>
      </c>
      <c r="P21" s="128">
        <f t="shared" si="7"/>
        <v>99.761401431317722</v>
      </c>
      <c r="Q21" s="128">
        <f t="shared" si="8"/>
        <v>35.100000000000364</v>
      </c>
      <c r="R21" s="128">
        <f>H21/G21*100</f>
        <v>100.57026807473599</v>
      </c>
      <c r="S21" s="128">
        <f>J21/$J$386*100</f>
        <v>5.8294542094248394</v>
      </c>
    </row>
    <row r="22" spans="1:19" ht="21.75" customHeight="1">
      <c r="A22" s="126"/>
      <c r="B22" s="127" t="s">
        <v>332</v>
      </c>
      <c r="C22" s="127" t="s">
        <v>338</v>
      </c>
      <c r="D22" s="127" t="s">
        <v>437</v>
      </c>
      <c r="E22" s="127" t="s">
        <v>423</v>
      </c>
      <c r="F22" s="127" t="s">
        <v>424</v>
      </c>
      <c r="G22" s="132"/>
      <c r="H22" s="132"/>
      <c r="I22" s="132">
        <v>4358.6364299999996</v>
      </c>
      <c r="J22" s="132">
        <v>4358.6364299999996</v>
      </c>
      <c r="K22" s="128"/>
      <c r="L22" s="128"/>
      <c r="M22" s="128">
        <f t="shared" si="4"/>
        <v>0</v>
      </c>
      <c r="N22" s="128"/>
      <c r="O22" s="128"/>
      <c r="P22" s="128"/>
      <c r="Q22" s="128"/>
      <c r="R22" s="128"/>
      <c r="S22" s="128"/>
    </row>
    <row r="23" spans="1:19" ht="23.25" customHeight="1">
      <c r="A23" s="126"/>
      <c r="B23" s="127" t="s">
        <v>332</v>
      </c>
      <c r="C23" s="127" t="s">
        <v>338</v>
      </c>
      <c r="D23" s="127" t="s">
        <v>437</v>
      </c>
      <c r="E23" s="127" t="s">
        <v>423</v>
      </c>
      <c r="F23" s="127" t="s">
        <v>438</v>
      </c>
      <c r="G23" s="132"/>
      <c r="H23" s="132"/>
      <c r="I23" s="132">
        <v>285.26830000000001</v>
      </c>
      <c r="J23" s="132">
        <v>285.26830000000001</v>
      </c>
      <c r="K23" s="128"/>
      <c r="L23" s="128"/>
      <c r="M23" s="128">
        <f t="shared" si="4"/>
        <v>0</v>
      </c>
      <c r="N23" s="128"/>
      <c r="O23" s="128"/>
      <c r="P23" s="128"/>
      <c r="Q23" s="128"/>
      <c r="R23" s="128"/>
      <c r="S23" s="128"/>
    </row>
    <row r="24" spans="1:19" ht="24" customHeight="1">
      <c r="A24" s="126"/>
      <c r="B24" s="127" t="s">
        <v>332</v>
      </c>
      <c r="C24" s="127" t="s">
        <v>338</v>
      </c>
      <c r="D24" s="127" t="s">
        <v>437</v>
      </c>
      <c r="E24" s="127" t="s">
        <v>425</v>
      </c>
      <c r="F24" s="127" t="s">
        <v>426</v>
      </c>
      <c r="G24" s="132"/>
      <c r="H24" s="132"/>
      <c r="I24" s="132">
        <v>6.6</v>
      </c>
      <c r="J24" s="132">
        <v>6.6</v>
      </c>
      <c r="K24" s="128"/>
      <c r="L24" s="128"/>
      <c r="M24" s="128">
        <f t="shared" si="4"/>
        <v>0</v>
      </c>
      <c r="N24" s="128"/>
      <c r="O24" s="128"/>
      <c r="P24" s="128"/>
      <c r="Q24" s="128"/>
      <c r="R24" s="128"/>
      <c r="S24" s="128"/>
    </row>
    <row r="25" spans="1:19" ht="19.5" customHeight="1">
      <c r="A25" s="126"/>
      <c r="B25" s="127" t="s">
        <v>332</v>
      </c>
      <c r="C25" s="127" t="s">
        <v>338</v>
      </c>
      <c r="D25" s="127" t="s">
        <v>437</v>
      </c>
      <c r="E25" s="127" t="s">
        <v>425</v>
      </c>
      <c r="F25" s="127" t="s">
        <v>427</v>
      </c>
      <c r="G25" s="132"/>
      <c r="H25" s="132"/>
      <c r="I25" s="132">
        <v>72.685789999999997</v>
      </c>
      <c r="J25" s="132">
        <v>72.685779999999994</v>
      </c>
      <c r="K25" s="128"/>
      <c r="L25" s="128"/>
      <c r="M25" s="128">
        <f t="shared" si="4"/>
        <v>-1.0000000003174137E-5</v>
      </c>
      <c r="N25" s="128"/>
      <c r="O25" s="128"/>
      <c r="P25" s="128"/>
      <c r="Q25" s="128"/>
      <c r="R25" s="128"/>
      <c r="S25" s="128"/>
    </row>
    <row r="26" spans="1:19" ht="22.5" customHeight="1">
      <c r="A26" s="126"/>
      <c r="B26" s="127" t="s">
        <v>332</v>
      </c>
      <c r="C26" s="127" t="s">
        <v>338</v>
      </c>
      <c r="D26" s="127" t="s">
        <v>437</v>
      </c>
      <c r="E26" s="127" t="s">
        <v>425</v>
      </c>
      <c r="F26" s="127" t="s">
        <v>428</v>
      </c>
      <c r="G26" s="132"/>
      <c r="H26" s="132"/>
      <c r="I26" s="132">
        <v>77.944999999999993</v>
      </c>
      <c r="J26" s="132">
        <v>77.944999999999993</v>
      </c>
      <c r="K26" s="128"/>
      <c r="L26" s="128"/>
      <c r="M26" s="128">
        <f t="shared" si="4"/>
        <v>0</v>
      </c>
      <c r="N26" s="128"/>
      <c r="O26" s="128"/>
      <c r="P26" s="128"/>
      <c r="Q26" s="128"/>
      <c r="R26" s="128"/>
      <c r="S26" s="128"/>
    </row>
    <row r="27" spans="1:19" ht="23.25" customHeight="1">
      <c r="A27" s="126"/>
      <c r="B27" s="127" t="s">
        <v>332</v>
      </c>
      <c r="C27" s="127" t="s">
        <v>338</v>
      </c>
      <c r="D27" s="127" t="s">
        <v>437</v>
      </c>
      <c r="E27" s="127" t="s">
        <v>425</v>
      </c>
      <c r="F27" s="127" t="s">
        <v>439</v>
      </c>
      <c r="G27" s="132"/>
      <c r="H27" s="132"/>
      <c r="I27" s="132">
        <v>53.914000000000001</v>
      </c>
      <c r="J27" s="132">
        <v>53.914000000000001</v>
      </c>
      <c r="K27" s="128"/>
      <c r="L27" s="128"/>
      <c r="M27" s="128">
        <f t="shared" si="4"/>
        <v>0</v>
      </c>
      <c r="N27" s="128"/>
      <c r="O27" s="128"/>
      <c r="P27" s="128"/>
      <c r="Q27" s="128"/>
      <c r="R27" s="128"/>
      <c r="S27" s="128"/>
    </row>
    <row r="28" spans="1:19" ht="21" customHeight="1">
      <c r="A28" s="126"/>
      <c r="B28" s="127" t="s">
        <v>332</v>
      </c>
      <c r="C28" s="127" t="s">
        <v>338</v>
      </c>
      <c r="D28" s="127" t="s">
        <v>437</v>
      </c>
      <c r="E28" s="127" t="s">
        <v>429</v>
      </c>
      <c r="F28" s="127" t="s">
        <v>430</v>
      </c>
      <c r="G28" s="132"/>
      <c r="H28" s="132"/>
      <c r="I28" s="132">
        <v>1335.0368800000001</v>
      </c>
      <c r="J28" s="132">
        <v>1320.2809999999999</v>
      </c>
      <c r="K28" s="128"/>
      <c r="L28" s="128"/>
      <c r="M28" s="128">
        <f t="shared" si="4"/>
        <v>-14.755880000000161</v>
      </c>
      <c r="N28" s="128"/>
      <c r="O28" s="128"/>
      <c r="P28" s="128"/>
      <c r="Q28" s="128"/>
      <c r="R28" s="128"/>
      <c r="S28" s="128"/>
    </row>
    <row r="29" spans="1:19" ht="44.25" customHeight="1">
      <c r="A29" s="126" t="s">
        <v>431</v>
      </c>
      <c r="B29" s="127" t="s">
        <v>332</v>
      </c>
      <c r="C29" s="127" t="s">
        <v>338</v>
      </c>
      <c r="D29" s="127" t="s">
        <v>437</v>
      </c>
      <c r="E29" s="127" t="s">
        <v>432</v>
      </c>
      <c r="F29" s="127"/>
      <c r="G29" s="132">
        <f>SUM(G30)</f>
        <v>0</v>
      </c>
      <c r="H29" s="132">
        <f>SUM(H30)</f>
        <v>8.6</v>
      </c>
      <c r="I29" s="132">
        <f>SUM(I30)</f>
        <v>8.6</v>
      </c>
      <c r="J29" s="132">
        <f>SUM(J30)</f>
        <v>8.6</v>
      </c>
      <c r="K29" s="128">
        <f t="shared" si="2"/>
        <v>0</v>
      </c>
      <c r="L29" s="128">
        <f t="shared" si="3"/>
        <v>100</v>
      </c>
      <c r="M29" s="128">
        <f t="shared" si="4"/>
        <v>0</v>
      </c>
      <c r="N29" s="128">
        <f t="shared" si="5"/>
        <v>100</v>
      </c>
      <c r="O29" s="128"/>
      <c r="P29" s="128">
        <f t="shared" si="7"/>
        <v>100</v>
      </c>
      <c r="Q29" s="128">
        <f t="shared" si="8"/>
        <v>8.6</v>
      </c>
      <c r="R29" s="128"/>
      <c r="S29" s="128">
        <f t="shared" ref="S29:S35" si="10">J29/$J$386*100</f>
        <v>8.1183195166429443E-3</v>
      </c>
    </row>
    <row r="30" spans="1:19" ht="50.25" customHeight="1">
      <c r="A30" s="126" t="s">
        <v>433</v>
      </c>
      <c r="B30" s="127" t="s">
        <v>332</v>
      </c>
      <c r="C30" s="127" t="s">
        <v>338</v>
      </c>
      <c r="D30" s="127" t="s">
        <v>437</v>
      </c>
      <c r="E30" s="127" t="s">
        <v>434</v>
      </c>
      <c r="F30" s="127" t="s">
        <v>435</v>
      </c>
      <c r="G30" s="132"/>
      <c r="H30" s="132">
        <v>8.6</v>
      </c>
      <c r="I30" s="132">
        <v>8.6</v>
      </c>
      <c r="J30" s="132">
        <v>8.6</v>
      </c>
      <c r="K30" s="128">
        <f t="shared" si="2"/>
        <v>0</v>
      </c>
      <c r="L30" s="128">
        <f t="shared" si="3"/>
        <v>100</v>
      </c>
      <c r="M30" s="128">
        <f t="shared" si="4"/>
        <v>0</v>
      </c>
      <c r="N30" s="128">
        <f t="shared" si="5"/>
        <v>100</v>
      </c>
      <c r="O30" s="128"/>
      <c r="P30" s="128">
        <f t="shared" si="7"/>
        <v>100</v>
      </c>
      <c r="Q30" s="128">
        <f t="shared" si="8"/>
        <v>8.6</v>
      </c>
      <c r="R30" s="128"/>
      <c r="S30" s="128">
        <f t="shared" si="10"/>
        <v>8.1183195166429443E-3</v>
      </c>
    </row>
    <row r="31" spans="1:19" ht="36.75" customHeight="1">
      <c r="A31" s="133" t="s">
        <v>440</v>
      </c>
      <c r="B31" s="127" t="s">
        <v>332</v>
      </c>
      <c r="C31" s="127" t="s">
        <v>338</v>
      </c>
      <c r="D31" s="127" t="s">
        <v>437</v>
      </c>
      <c r="E31" s="127" t="s">
        <v>441</v>
      </c>
      <c r="F31" s="127"/>
      <c r="G31" s="132">
        <f>G32</f>
        <v>0</v>
      </c>
      <c r="H31" s="132">
        <v>47.1</v>
      </c>
      <c r="I31" s="132">
        <f>I32</f>
        <v>47.104999999999997</v>
      </c>
      <c r="J31" s="132">
        <f>J32</f>
        <v>47.104999999999997</v>
      </c>
      <c r="K31" s="128">
        <f t="shared" si="2"/>
        <v>4.9999999999954525E-3</v>
      </c>
      <c r="L31" s="128">
        <f t="shared" si="3"/>
        <v>100.01061571125265</v>
      </c>
      <c r="M31" s="128">
        <f t="shared" si="4"/>
        <v>0</v>
      </c>
      <c r="N31" s="128">
        <f t="shared" si="5"/>
        <v>100</v>
      </c>
      <c r="O31" s="128"/>
      <c r="P31" s="128">
        <f t="shared" si="7"/>
        <v>100.01061571125265</v>
      </c>
      <c r="Q31" s="128">
        <f t="shared" si="8"/>
        <v>47.1</v>
      </c>
      <c r="R31" s="128"/>
      <c r="S31" s="128">
        <f t="shared" si="10"/>
        <v>4.4466679166449523E-2</v>
      </c>
    </row>
    <row r="32" spans="1:19" ht="45.75" customHeight="1">
      <c r="A32" s="133" t="s">
        <v>442</v>
      </c>
      <c r="B32" s="127" t="s">
        <v>332</v>
      </c>
      <c r="C32" s="127" t="s">
        <v>338</v>
      </c>
      <c r="D32" s="127" t="s">
        <v>437</v>
      </c>
      <c r="E32" s="127" t="s">
        <v>443</v>
      </c>
      <c r="F32" s="127" t="s">
        <v>444</v>
      </c>
      <c r="G32" s="132"/>
      <c r="H32" s="132">
        <v>47.1</v>
      </c>
      <c r="I32" s="132">
        <v>47.104999999999997</v>
      </c>
      <c r="J32" s="132">
        <v>47.104999999999997</v>
      </c>
      <c r="K32" s="128">
        <f t="shared" si="2"/>
        <v>4.9999999999954525E-3</v>
      </c>
      <c r="L32" s="128">
        <f t="shared" si="3"/>
        <v>100.01061571125265</v>
      </c>
      <c r="M32" s="128">
        <f t="shared" si="4"/>
        <v>0</v>
      </c>
      <c r="N32" s="128">
        <f t="shared" si="5"/>
        <v>100</v>
      </c>
      <c r="O32" s="128"/>
      <c r="P32" s="128">
        <f t="shared" si="7"/>
        <v>100.01061571125265</v>
      </c>
      <c r="Q32" s="128">
        <f t="shared" si="8"/>
        <v>47.1</v>
      </c>
      <c r="R32" s="128"/>
      <c r="S32" s="128">
        <f t="shared" si="10"/>
        <v>4.4466679166449523E-2</v>
      </c>
    </row>
    <row r="33" spans="1:19" ht="109.5" customHeight="1">
      <c r="A33" s="134" t="s">
        <v>445</v>
      </c>
      <c r="B33" s="127" t="s">
        <v>332</v>
      </c>
      <c r="C33" s="127" t="s">
        <v>338</v>
      </c>
      <c r="D33" s="127" t="s">
        <v>446</v>
      </c>
      <c r="E33" s="127"/>
      <c r="F33" s="127"/>
      <c r="G33" s="132">
        <f t="shared" ref="G33:J34" si="11">G34</f>
        <v>0</v>
      </c>
      <c r="H33" s="132">
        <f>H34</f>
        <v>72.900000000000006</v>
      </c>
      <c r="I33" s="132">
        <f t="shared" si="11"/>
        <v>72.912000000000006</v>
      </c>
      <c r="J33" s="132">
        <f t="shared" si="11"/>
        <v>72.912000000000006</v>
      </c>
      <c r="K33" s="128">
        <f>I33-H33</f>
        <v>1.2000000000000455E-2</v>
      </c>
      <c r="L33" s="128">
        <f>I33/H33*100</f>
        <v>100.01646090534979</v>
      </c>
      <c r="M33" s="128">
        <f>J33-I33</f>
        <v>0</v>
      </c>
      <c r="N33" s="128">
        <f>J33/I33*100</f>
        <v>100</v>
      </c>
      <c r="O33" s="128"/>
      <c r="P33" s="128">
        <f>J33/H33*100</f>
        <v>100.01646090534979</v>
      </c>
      <c r="Q33" s="128">
        <f>H33-G33</f>
        <v>72.900000000000006</v>
      </c>
      <c r="R33" s="128"/>
      <c r="S33" s="128">
        <f t="shared" si="10"/>
        <v>6.8828245650868661E-2</v>
      </c>
    </row>
    <row r="34" spans="1:19" ht="83.25" customHeight="1">
      <c r="A34" s="131" t="s">
        <v>419</v>
      </c>
      <c r="B34" s="127" t="s">
        <v>332</v>
      </c>
      <c r="C34" s="127" t="s">
        <v>338</v>
      </c>
      <c r="D34" s="127" t="s">
        <v>446</v>
      </c>
      <c r="E34" s="127" t="s">
        <v>420</v>
      </c>
      <c r="F34" s="127"/>
      <c r="G34" s="132">
        <f t="shared" si="11"/>
        <v>0</v>
      </c>
      <c r="H34" s="132">
        <f>H35</f>
        <v>72.900000000000006</v>
      </c>
      <c r="I34" s="132">
        <f t="shared" si="11"/>
        <v>72.912000000000006</v>
      </c>
      <c r="J34" s="132">
        <f t="shared" si="11"/>
        <v>72.912000000000006</v>
      </c>
      <c r="K34" s="128">
        <f t="shared" ref="K34:K39" si="12">I34-H34</f>
        <v>1.2000000000000455E-2</v>
      </c>
      <c r="L34" s="128">
        <f t="shared" ref="L34:L39" si="13">I34/H34*100</f>
        <v>100.01646090534979</v>
      </c>
      <c r="M34" s="128">
        <f t="shared" ref="M34:M39" si="14">J34-I34</f>
        <v>0</v>
      </c>
      <c r="N34" s="128">
        <f t="shared" ref="N34:N39" si="15">J34/I34*100</f>
        <v>100</v>
      </c>
      <c r="O34" s="128"/>
      <c r="P34" s="128">
        <f t="shared" ref="P34:P39" si="16">J34/H34*100</f>
        <v>100.01646090534979</v>
      </c>
      <c r="Q34" s="128">
        <f t="shared" ref="Q34:Q39" si="17">H34-G34</f>
        <v>72.900000000000006</v>
      </c>
      <c r="R34" s="128"/>
      <c r="S34" s="128">
        <f t="shared" si="10"/>
        <v>6.8828245650868661E-2</v>
      </c>
    </row>
    <row r="35" spans="1:19" ht="46.5" customHeight="1">
      <c r="A35" s="126" t="s">
        <v>421</v>
      </c>
      <c r="B35" s="127" t="s">
        <v>332</v>
      </c>
      <c r="C35" s="127" t="s">
        <v>338</v>
      </c>
      <c r="D35" s="127" t="s">
        <v>446</v>
      </c>
      <c r="E35" s="127" t="s">
        <v>422</v>
      </c>
      <c r="F35" s="127"/>
      <c r="G35" s="132"/>
      <c r="H35" s="132">
        <v>72.900000000000006</v>
      </c>
      <c r="I35" s="132">
        <f>I36+I37</f>
        <v>72.912000000000006</v>
      </c>
      <c r="J35" s="132">
        <f>J36+J37</f>
        <v>72.912000000000006</v>
      </c>
      <c r="K35" s="128">
        <f t="shared" si="12"/>
        <v>1.2000000000000455E-2</v>
      </c>
      <c r="L35" s="128">
        <f t="shared" si="13"/>
        <v>100.01646090534979</v>
      </c>
      <c r="M35" s="128">
        <f t="shared" si="14"/>
        <v>0</v>
      </c>
      <c r="N35" s="128">
        <f t="shared" si="15"/>
        <v>100</v>
      </c>
      <c r="O35" s="128"/>
      <c r="P35" s="128">
        <f t="shared" si="16"/>
        <v>100.01646090534979</v>
      </c>
      <c r="Q35" s="128">
        <f t="shared" si="17"/>
        <v>72.900000000000006</v>
      </c>
      <c r="R35" s="128"/>
      <c r="S35" s="128">
        <f t="shared" si="10"/>
        <v>6.8828245650868661E-2</v>
      </c>
    </row>
    <row r="36" spans="1:19" ht="21.75" customHeight="1">
      <c r="A36" s="126"/>
      <c r="B36" s="127" t="s">
        <v>332</v>
      </c>
      <c r="C36" s="127" t="s">
        <v>338</v>
      </c>
      <c r="D36" s="127" t="s">
        <v>446</v>
      </c>
      <c r="E36" s="127" t="s">
        <v>423</v>
      </c>
      <c r="F36" s="127" t="s">
        <v>424</v>
      </c>
      <c r="G36" s="132"/>
      <c r="H36" s="132"/>
      <c r="I36" s="132">
        <v>56</v>
      </c>
      <c r="J36" s="132">
        <v>56</v>
      </c>
      <c r="K36" s="128"/>
      <c r="L36" s="128"/>
      <c r="M36" s="128"/>
      <c r="N36" s="128"/>
      <c r="O36" s="128"/>
      <c r="P36" s="128"/>
      <c r="Q36" s="128"/>
      <c r="R36" s="128"/>
      <c r="S36" s="128"/>
    </row>
    <row r="37" spans="1:19" ht="25.5" customHeight="1">
      <c r="A37" s="126"/>
      <c r="B37" s="127" t="s">
        <v>332</v>
      </c>
      <c r="C37" s="127" t="s">
        <v>338</v>
      </c>
      <c r="D37" s="127" t="s">
        <v>446</v>
      </c>
      <c r="E37" s="127" t="s">
        <v>429</v>
      </c>
      <c r="F37" s="127" t="s">
        <v>430</v>
      </c>
      <c r="G37" s="132"/>
      <c r="H37" s="132"/>
      <c r="I37" s="132">
        <v>16.911999999999999</v>
      </c>
      <c r="J37" s="132">
        <v>16.911999999999999</v>
      </c>
      <c r="K37" s="128"/>
      <c r="L37" s="128"/>
      <c r="M37" s="128"/>
      <c r="N37" s="128"/>
      <c r="O37" s="128"/>
      <c r="P37" s="128"/>
      <c r="Q37" s="128"/>
      <c r="R37" s="128"/>
      <c r="S37" s="128"/>
    </row>
    <row r="38" spans="1:19" ht="33" customHeight="1">
      <c r="A38" s="135" t="s">
        <v>447</v>
      </c>
      <c r="B38" s="124" t="s">
        <v>332</v>
      </c>
      <c r="C38" s="124" t="s">
        <v>341</v>
      </c>
      <c r="D38" s="124"/>
      <c r="E38" s="124"/>
      <c r="F38" s="124"/>
      <c r="G38" s="125">
        <f t="shared" ref="G38:J39" si="18">G39</f>
        <v>18704.399999999998</v>
      </c>
      <c r="H38" s="125">
        <f>H39</f>
        <v>18866.400000000001</v>
      </c>
      <c r="I38" s="125">
        <f t="shared" si="18"/>
        <v>18866.470590000001</v>
      </c>
      <c r="J38" s="125">
        <f t="shared" si="18"/>
        <v>17498.06655</v>
      </c>
      <c r="K38" s="125">
        <f t="shared" si="12"/>
        <v>7.0589999999356223E-2</v>
      </c>
      <c r="L38" s="125">
        <f t="shared" si="13"/>
        <v>100.0003741572319</v>
      </c>
      <c r="M38" s="125">
        <f t="shared" si="14"/>
        <v>-1368.4040400000013</v>
      </c>
      <c r="N38" s="125">
        <f t="shared" si="15"/>
        <v>92.746899673300248</v>
      </c>
      <c r="O38" s="125">
        <f t="shared" ref="O38:O43" si="19">J38/G38*100</f>
        <v>93.550536504779629</v>
      </c>
      <c r="P38" s="125">
        <f t="shared" si="16"/>
        <v>92.747246692532741</v>
      </c>
      <c r="Q38" s="125">
        <f t="shared" si="17"/>
        <v>162.00000000000364</v>
      </c>
      <c r="R38" s="125">
        <f t="shared" ref="R38:R43" si="20">H38/G38*100</f>
        <v>100.86610637069356</v>
      </c>
      <c r="S38" s="125">
        <f t="shared" ref="S38:S43" si="21">J38/$J$386*100</f>
        <v>16.51801106702117</v>
      </c>
    </row>
    <row r="39" spans="1:19" ht="36" customHeight="1">
      <c r="A39" s="126" t="s">
        <v>413</v>
      </c>
      <c r="B39" s="127" t="s">
        <v>332</v>
      </c>
      <c r="C39" s="127" t="s">
        <v>341</v>
      </c>
      <c r="D39" s="127" t="s">
        <v>414</v>
      </c>
      <c r="E39" s="127"/>
      <c r="F39" s="127"/>
      <c r="G39" s="128">
        <f t="shared" si="18"/>
        <v>18704.399999999998</v>
      </c>
      <c r="H39" s="128">
        <f>H40</f>
        <v>18866.400000000001</v>
      </c>
      <c r="I39" s="128">
        <f t="shared" si="18"/>
        <v>18866.470590000001</v>
      </c>
      <c r="J39" s="128">
        <f t="shared" si="18"/>
        <v>17498.06655</v>
      </c>
      <c r="K39" s="128">
        <f t="shared" si="12"/>
        <v>7.0589999999356223E-2</v>
      </c>
      <c r="L39" s="128">
        <f t="shared" si="13"/>
        <v>100.0003741572319</v>
      </c>
      <c r="M39" s="128">
        <f t="shared" si="14"/>
        <v>-1368.4040400000013</v>
      </c>
      <c r="N39" s="128">
        <f t="shared" si="15"/>
        <v>92.746899673300248</v>
      </c>
      <c r="O39" s="128">
        <f t="shared" si="19"/>
        <v>93.550536504779629</v>
      </c>
      <c r="P39" s="128">
        <f t="shared" si="16"/>
        <v>92.747246692532741</v>
      </c>
      <c r="Q39" s="128">
        <f t="shared" si="17"/>
        <v>162.00000000000364</v>
      </c>
      <c r="R39" s="128">
        <f t="shared" si="20"/>
        <v>100.86610637069356</v>
      </c>
      <c r="S39" s="128">
        <f t="shared" si="21"/>
        <v>16.51801106702117</v>
      </c>
    </row>
    <row r="40" spans="1:19" ht="63.75" customHeight="1">
      <c r="A40" s="126" t="s">
        <v>415</v>
      </c>
      <c r="B40" s="127" t="s">
        <v>332</v>
      </c>
      <c r="C40" s="127" t="s">
        <v>341</v>
      </c>
      <c r="D40" s="127" t="s">
        <v>416</v>
      </c>
      <c r="E40" s="127"/>
      <c r="F40" s="127"/>
      <c r="G40" s="128">
        <f>G41+G63+G68</f>
        <v>18704.399999999998</v>
      </c>
      <c r="H40" s="128">
        <f>H41+H63+H68</f>
        <v>18866.400000000001</v>
      </c>
      <c r="I40" s="128">
        <f>I41+I63+I68</f>
        <v>18866.470590000001</v>
      </c>
      <c r="J40" s="128">
        <f>J41+J63+J68</f>
        <v>17498.06655</v>
      </c>
      <c r="K40" s="128">
        <f>I40-H40</f>
        <v>7.0589999999356223E-2</v>
      </c>
      <c r="L40" s="128">
        <f>I40/H40*100</f>
        <v>100.0003741572319</v>
      </c>
      <c r="M40" s="128">
        <f>J40-I40</f>
        <v>-1368.4040400000013</v>
      </c>
      <c r="N40" s="128">
        <f>J40/I40*100</f>
        <v>92.746899673300248</v>
      </c>
      <c r="O40" s="128">
        <f t="shared" si="19"/>
        <v>93.550536504779629</v>
      </c>
      <c r="P40" s="128">
        <f>J40/H40*100</f>
        <v>92.747246692532741</v>
      </c>
      <c r="Q40" s="128">
        <f>H40-G40</f>
        <v>162.00000000000364</v>
      </c>
      <c r="R40" s="128">
        <f t="shared" si="20"/>
        <v>100.86610637069356</v>
      </c>
      <c r="S40" s="128">
        <f t="shared" si="21"/>
        <v>16.51801106702117</v>
      </c>
    </row>
    <row r="41" spans="1:19" ht="39.75" customHeight="1">
      <c r="A41" s="126" t="s">
        <v>448</v>
      </c>
      <c r="B41" s="127" t="s">
        <v>332</v>
      </c>
      <c r="C41" s="127" t="s">
        <v>341</v>
      </c>
      <c r="D41" s="127" t="s">
        <v>449</v>
      </c>
      <c r="E41" s="127"/>
      <c r="F41" s="127"/>
      <c r="G41" s="128">
        <f>G42+G51+G60</f>
        <v>18254.399999999998</v>
      </c>
      <c r="H41" s="128">
        <f>H42+H51+H60</f>
        <v>17940.2</v>
      </c>
      <c r="I41" s="128">
        <f>I42+I51+I60</f>
        <v>17940.240659999999</v>
      </c>
      <c r="J41" s="128">
        <f>J42+J51+J60</f>
        <v>16577.104630000002</v>
      </c>
      <c r="K41" s="128">
        <f>I41-H41</f>
        <v>4.0659999998752028E-2</v>
      </c>
      <c r="L41" s="128">
        <f>I41/H41*100</f>
        <v>100.00022664184345</v>
      </c>
      <c r="M41" s="128">
        <f t="shared" ref="M41:M70" si="22">J41-I41</f>
        <v>-1363.1360299999978</v>
      </c>
      <c r="N41" s="128">
        <f>J41/I41*100</f>
        <v>92.401796297865275</v>
      </c>
      <c r="O41" s="128">
        <f t="shared" si="19"/>
        <v>90.811555734507863</v>
      </c>
      <c r="P41" s="128">
        <f>J41/H41*100</f>
        <v>92.402005718999789</v>
      </c>
      <c r="Q41" s="128">
        <f>H41-G41</f>
        <v>-314.19999999999709</v>
      </c>
      <c r="R41" s="128">
        <f t="shared" si="20"/>
        <v>98.27877114558683</v>
      </c>
      <c r="S41" s="128">
        <f t="shared" si="21"/>
        <v>15.648631633390831</v>
      </c>
    </row>
    <row r="42" spans="1:19" ht="78.599999999999994" customHeight="1">
      <c r="A42" s="131" t="s">
        <v>419</v>
      </c>
      <c r="B42" s="127" t="s">
        <v>332</v>
      </c>
      <c r="C42" s="127" t="s">
        <v>341</v>
      </c>
      <c r="D42" s="127" t="s">
        <v>449</v>
      </c>
      <c r="E42" s="127" t="s">
        <v>420</v>
      </c>
      <c r="F42" s="127"/>
      <c r="G42" s="128">
        <f>G43</f>
        <v>17569.599999999999</v>
      </c>
      <c r="H42" s="128">
        <f>H43</f>
        <v>16660.5</v>
      </c>
      <c r="I42" s="128">
        <f>I43</f>
        <v>16660.456630000001</v>
      </c>
      <c r="J42" s="128">
        <f>J43</f>
        <v>15352.199630000001</v>
      </c>
      <c r="K42" s="128">
        <f>I42-H42</f>
        <v>-4.3369999999413267E-2</v>
      </c>
      <c r="L42" s="128">
        <f>I42/H42*100</f>
        <v>99.999739683682961</v>
      </c>
      <c r="M42" s="128">
        <f t="shared" si="22"/>
        <v>-1308.2569999999996</v>
      </c>
      <c r="N42" s="128">
        <f>J42/I42*100</f>
        <v>92.147532153204864</v>
      </c>
      <c r="O42" s="128">
        <f t="shared" si="19"/>
        <v>87.379334930789554</v>
      </c>
      <c r="P42" s="128">
        <f>J42/H42*100</f>
        <v>92.147292278142928</v>
      </c>
      <c r="Q42" s="128">
        <f>H42-G42</f>
        <v>-909.09999999999854</v>
      </c>
      <c r="R42" s="128">
        <f t="shared" si="20"/>
        <v>94.825721701120131</v>
      </c>
      <c r="S42" s="128">
        <f t="shared" si="21"/>
        <v>14.492332776700884</v>
      </c>
    </row>
    <row r="43" spans="1:19" ht="43.5" customHeight="1">
      <c r="A43" s="126" t="s">
        <v>421</v>
      </c>
      <c r="B43" s="127" t="s">
        <v>332</v>
      </c>
      <c r="C43" s="127" t="s">
        <v>341</v>
      </c>
      <c r="D43" s="127" t="s">
        <v>449</v>
      </c>
      <c r="E43" s="127" t="s">
        <v>422</v>
      </c>
      <c r="F43" s="127"/>
      <c r="G43" s="132">
        <v>17569.599999999999</v>
      </c>
      <c r="H43" s="132">
        <v>16660.5</v>
      </c>
      <c r="I43" s="132">
        <f>I44+I45+I46+I47+I48+I49+I50</f>
        <v>16660.456630000001</v>
      </c>
      <c r="J43" s="132">
        <f>J44+J45+J46+J47+J48+J49+J50</f>
        <v>15352.199630000001</v>
      </c>
      <c r="K43" s="128">
        <f>I43-H43</f>
        <v>-4.3369999999413267E-2</v>
      </c>
      <c r="L43" s="128">
        <f>I43/H43*100</f>
        <v>99.999739683682961</v>
      </c>
      <c r="M43" s="128">
        <f t="shared" si="22"/>
        <v>-1308.2569999999996</v>
      </c>
      <c r="N43" s="128">
        <f>J43/I43*100</f>
        <v>92.147532153204864</v>
      </c>
      <c r="O43" s="128">
        <f t="shared" si="19"/>
        <v>87.379334930789554</v>
      </c>
      <c r="P43" s="128">
        <f>J43/H43*100</f>
        <v>92.147292278142928</v>
      </c>
      <c r="Q43" s="128">
        <f>H43-G43</f>
        <v>-909.09999999999854</v>
      </c>
      <c r="R43" s="128">
        <f t="shared" si="20"/>
        <v>94.825721701120131</v>
      </c>
      <c r="S43" s="128">
        <f t="shared" si="21"/>
        <v>14.492332776700884</v>
      </c>
    </row>
    <row r="44" spans="1:19" ht="24" customHeight="1">
      <c r="A44" s="126"/>
      <c r="B44" s="127" t="s">
        <v>332</v>
      </c>
      <c r="C44" s="127" t="s">
        <v>341</v>
      </c>
      <c r="D44" s="127" t="s">
        <v>449</v>
      </c>
      <c r="E44" s="127" t="s">
        <v>423</v>
      </c>
      <c r="F44" s="127" t="s">
        <v>424</v>
      </c>
      <c r="G44" s="132"/>
      <c r="H44" s="132"/>
      <c r="I44" s="132">
        <v>12630.126</v>
      </c>
      <c r="J44" s="132">
        <v>11498.841</v>
      </c>
      <c r="K44" s="128"/>
      <c r="L44" s="128"/>
      <c r="M44" s="128">
        <f t="shared" si="22"/>
        <v>-1131.2849999999999</v>
      </c>
      <c r="N44" s="128"/>
      <c r="O44" s="128"/>
      <c r="P44" s="128"/>
      <c r="Q44" s="128"/>
      <c r="R44" s="128"/>
      <c r="S44" s="128"/>
    </row>
    <row r="45" spans="1:19" ht="20.25" customHeight="1">
      <c r="A45" s="126"/>
      <c r="B45" s="127" t="s">
        <v>332</v>
      </c>
      <c r="C45" s="127" t="s">
        <v>341</v>
      </c>
      <c r="D45" s="127" t="s">
        <v>449</v>
      </c>
      <c r="E45" s="127" t="s">
        <v>423</v>
      </c>
      <c r="F45" s="127" t="s">
        <v>438</v>
      </c>
      <c r="G45" s="132"/>
      <c r="H45" s="132"/>
      <c r="I45" s="132">
        <v>52.743000000000002</v>
      </c>
      <c r="J45" s="132">
        <v>52.743000000000002</v>
      </c>
      <c r="K45" s="128"/>
      <c r="L45" s="128"/>
      <c r="M45" s="128">
        <f t="shared" si="22"/>
        <v>0</v>
      </c>
      <c r="N45" s="128"/>
      <c r="O45" s="128"/>
      <c r="P45" s="128"/>
      <c r="Q45" s="128"/>
      <c r="R45" s="128"/>
      <c r="S45" s="128"/>
    </row>
    <row r="46" spans="1:19" ht="23.25" customHeight="1">
      <c r="A46" s="126"/>
      <c r="B46" s="127" t="s">
        <v>332</v>
      </c>
      <c r="C46" s="127" t="s">
        <v>341</v>
      </c>
      <c r="D46" s="127" t="s">
        <v>449</v>
      </c>
      <c r="E46" s="127" t="s">
        <v>425</v>
      </c>
      <c r="F46" s="127" t="s">
        <v>426</v>
      </c>
      <c r="G46" s="132"/>
      <c r="H46" s="132"/>
      <c r="I46" s="132">
        <v>1.5</v>
      </c>
      <c r="J46" s="132">
        <v>1.5</v>
      </c>
      <c r="K46" s="128"/>
      <c r="L46" s="128"/>
      <c r="M46" s="128">
        <f t="shared" si="22"/>
        <v>0</v>
      </c>
      <c r="N46" s="128"/>
      <c r="O46" s="128"/>
      <c r="P46" s="128"/>
      <c r="Q46" s="128"/>
      <c r="R46" s="128"/>
      <c r="S46" s="128"/>
    </row>
    <row r="47" spans="1:19" ht="22.5" customHeight="1">
      <c r="A47" s="126"/>
      <c r="B47" s="127" t="s">
        <v>332</v>
      </c>
      <c r="C47" s="127" t="s">
        <v>341</v>
      </c>
      <c r="D47" s="127" t="s">
        <v>449</v>
      </c>
      <c r="E47" s="127" t="s">
        <v>425</v>
      </c>
      <c r="F47" s="127" t="s">
        <v>427</v>
      </c>
      <c r="G47" s="132"/>
      <c r="H47" s="132"/>
      <c r="I47" s="132">
        <v>214.59663</v>
      </c>
      <c r="J47" s="132">
        <v>214.59663</v>
      </c>
      <c r="K47" s="128"/>
      <c r="L47" s="128"/>
      <c r="M47" s="128">
        <f t="shared" si="22"/>
        <v>0</v>
      </c>
      <c r="N47" s="128"/>
      <c r="O47" s="128"/>
      <c r="P47" s="128"/>
      <c r="Q47" s="128"/>
      <c r="R47" s="128"/>
      <c r="S47" s="128"/>
    </row>
    <row r="48" spans="1:19" ht="21.75" customHeight="1">
      <c r="A48" s="126"/>
      <c r="B48" s="127" t="s">
        <v>332</v>
      </c>
      <c r="C48" s="127" t="s">
        <v>341</v>
      </c>
      <c r="D48" s="127" t="s">
        <v>449</v>
      </c>
      <c r="E48" s="127" t="s">
        <v>425</v>
      </c>
      <c r="F48" s="127" t="s">
        <v>428</v>
      </c>
      <c r="G48" s="132"/>
      <c r="H48" s="132"/>
      <c r="I48" s="132">
        <v>37.356999999999999</v>
      </c>
      <c r="J48" s="132">
        <v>37.356999999999999</v>
      </c>
      <c r="K48" s="128"/>
      <c r="L48" s="128"/>
      <c r="M48" s="128">
        <f t="shared" si="22"/>
        <v>0</v>
      </c>
      <c r="N48" s="128"/>
      <c r="O48" s="128"/>
      <c r="P48" s="128"/>
      <c r="Q48" s="128"/>
      <c r="R48" s="128"/>
      <c r="S48" s="128"/>
    </row>
    <row r="49" spans="1:19" ht="22.5" customHeight="1">
      <c r="A49" s="126"/>
      <c r="B49" s="127" t="s">
        <v>332</v>
      </c>
      <c r="C49" s="127" t="s">
        <v>341</v>
      </c>
      <c r="D49" s="127" t="s">
        <v>449</v>
      </c>
      <c r="E49" s="127" t="s">
        <v>425</v>
      </c>
      <c r="F49" s="127" t="s">
        <v>439</v>
      </c>
      <c r="G49" s="132"/>
      <c r="H49" s="132"/>
      <c r="I49" s="132">
        <v>106.678</v>
      </c>
      <c r="J49" s="132">
        <v>106.678</v>
      </c>
      <c r="K49" s="128"/>
      <c r="L49" s="128"/>
      <c r="M49" s="128">
        <f t="shared" si="22"/>
        <v>0</v>
      </c>
      <c r="N49" s="128"/>
      <c r="O49" s="128"/>
      <c r="P49" s="128"/>
      <c r="Q49" s="128"/>
      <c r="R49" s="128"/>
      <c r="S49" s="128"/>
    </row>
    <row r="50" spans="1:19" ht="24" customHeight="1">
      <c r="A50" s="126"/>
      <c r="B50" s="127" t="s">
        <v>332</v>
      </c>
      <c r="C50" s="127" t="s">
        <v>341</v>
      </c>
      <c r="D50" s="127" t="s">
        <v>449</v>
      </c>
      <c r="E50" s="127" t="s">
        <v>429</v>
      </c>
      <c r="F50" s="127" t="s">
        <v>430</v>
      </c>
      <c r="G50" s="132"/>
      <c r="H50" s="132"/>
      <c r="I50" s="132">
        <v>3617.4560000000001</v>
      </c>
      <c r="J50" s="132">
        <v>3440.4839999999999</v>
      </c>
      <c r="K50" s="128"/>
      <c r="L50" s="128"/>
      <c r="M50" s="128">
        <f t="shared" si="22"/>
        <v>-176.97200000000021</v>
      </c>
      <c r="N50" s="128"/>
      <c r="O50" s="128"/>
      <c r="P50" s="128"/>
      <c r="Q50" s="128"/>
      <c r="R50" s="128"/>
      <c r="S50" s="128"/>
    </row>
    <row r="51" spans="1:19" ht="49.5" customHeight="1">
      <c r="A51" s="126" t="s">
        <v>431</v>
      </c>
      <c r="B51" s="127" t="s">
        <v>332</v>
      </c>
      <c r="C51" s="127" t="s">
        <v>341</v>
      </c>
      <c r="D51" s="127" t="s">
        <v>449</v>
      </c>
      <c r="E51" s="127" t="s">
        <v>432</v>
      </c>
      <c r="F51" s="127"/>
      <c r="G51" s="132">
        <f>G52</f>
        <v>684.8</v>
      </c>
      <c r="H51" s="132">
        <f>H52</f>
        <v>1209</v>
      </c>
      <c r="I51" s="132">
        <f>I52</f>
        <v>1209.03403</v>
      </c>
      <c r="J51" s="132">
        <f>J52</f>
        <v>1154.155</v>
      </c>
      <c r="K51" s="128">
        <f>I51-H51</f>
        <v>3.4030000000029759E-2</v>
      </c>
      <c r="L51" s="128">
        <f>I51/H51*100</f>
        <v>100.00281472291151</v>
      </c>
      <c r="M51" s="128">
        <f t="shared" si="22"/>
        <v>-54.879030000000057</v>
      </c>
      <c r="N51" s="128">
        <f>J51/I51*100</f>
        <v>95.460919325819134</v>
      </c>
      <c r="O51" s="128">
        <f>J51/G51*100</f>
        <v>168.53898948598132</v>
      </c>
      <c r="P51" s="128">
        <f>J51/H51*100</f>
        <v>95.463606286186931</v>
      </c>
      <c r="Q51" s="128">
        <f>H51-G51</f>
        <v>524.20000000000005</v>
      </c>
      <c r="R51" s="128">
        <f>H51/G51*100</f>
        <v>176.54789719626169</v>
      </c>
      <c r="S51" s="128">
        <f>J51/$J$386*100</f>
        <v>1.0895115188059346</v>
      </c>
    </row>
    <row r="52" spans="1:19" ht="49.5" customHeight="1">
      <c r="A52" s="126" t="s">
        <v>433</v>
      </c>
      <c r="B52" s="127" t="s">
        <v>332</v>
      </c>
      <c r="C52" s="127" t="s">
        <v>341</v>
      </c>
      <c r="D52" s="127" t="s">
        <v>449</v>
      </c>
      <c r="E52" s="127" t="s">
        <v>450</v>
      </c>
      <c r="F52" s="127"/>
      <c r="G52" s="132">
        <v>684.8</v>
      </c>
      <c r="H52" s="132">
        <v>1209</v>
      </c>
      <c r="I52" s="132">
        <f>I53+I54+I55+I56+I57+I58+I59</f>
        <v>1209.03403</v>
      </c>
      <c r="J52" s="132">
        <f>J53+J54+J55+J56+J57+J58+J59</f>
        <v>1154.155</v>
      </c>
      <c r="K52" s="128">
        <f>I52-H52</f>
        <v>3.4030000000029759E-2</v>
      </c>
      <c r="L52" s="128">
        <f>I52/H52*100</f>
        <v>100.00281472291151</v>
      </c>
      <c r="M52" s="128">
        <f t="shared" si="22"/>
        <v>-54.879030000000057</v>
      </c>
      <c r="N52" s="128">
        <f>J52/I52*100</f>
        <v>95.460919325819134</v>
      </c>
      <c r="O52" s="128">
        <f>J52/G52*100</f>
        <v>168.53898948598132</v>
      </c>
      <c r="P52" s="128">
        <f>J52/H52*100</f>
        <v>95.463606286186931</v>
      </c>
      <c r="Q52" s="128">
        <f>H52-G52</f>
        <v>524.20000000000005</v>
      </c>
      <c r="R52" s="128">
        <f>H52/G52*100</f>
        <v>176.54789719626169</v>
      </c>
      <c r="S52" s="128">
        <f>J52/$J$386*100</f>
        <v>1.0895115188059346</v>
      </c>
    </row>
    <row r="53" spans="1:19" ht="22.5" customHeight="1">
      <c r="A53" s="126"/>
      <c r="B53" s="127" t="s">
        <v>332</v>
      </c>
      <c r="C53" s="127" t="s">
        <v>341</v>
      </c>
      <c r="D53" s="127" t="s">
        <v>449</v>
      </c>
      <c r="E53" s="127" t="s">
        <v>434</v>
      </c>
      <c r="F53" s="127" t="s">
        <v>451</v>
      </c>
      <c r="G53" s="132"/>
      <c r="H53" s="132"/>
      <c r="I53" s="132">
        <v>225.7</v>
      </c>
      <c r="J53" s="132">
        <v>195.65</v>
      </c>
      <c r="K53" s="128"/>
      <c r="L53" s="128"/>
      <c r="M53" s="128">
        <f t="shared" si="22"/>
        <v>-30.049999999999983</v>
      </c>
      <c r="N53" s="128"/>
      <c r="O53" s="128"/>
      <c r="P53" s="128"/>
      <c r="Q53" s="128"/>
      <c r="R53" s="128"/>
      <c r="S53" s="128"/>
    </row>
    <row r="54" spans="1:19" ht="24.75" customHeight="1">
      <c r="A54" s="126"/>
      <c r="B54" s="127" t="s">
        <v>332</v>
      </c>
      <c r="C54" s="127" t="s">
        <v>341</v>
      </c>
      <c r="D54" s="127" t="s">
        <v>449</v>
      </c>
      <c r="E54" s="127" t="s">
        <v>434</v>
      </c>
      <c r="F54" s="127" t="s">
        <v>452</v>
      </c>
      <c r="G54" s="132"/>
      <c r="H54" s="132"/>
      <c r="I54" s="132">
        <v>158.905</v>
      </c>
      <c r="J54" s="132">
        <v>158.905</v>
      </c>
      <c r="K54" s="128"/>
      <c r="L54" s="128"/>
      <c r="M54" s="128">
        <f t="shared" si="22"/>
        <v>0</v>
      </c>
      <c r="N54" s="128"/>
      <c r="O54" s="128"/>
      <c r="P54" s="128"/>
      <c r="Q54" s="128"/>
      <c r="R54" s="128"/>
      <c r="S54" s="128"/>
    </row>
    <row r="55" spans="1:19" ht="18" customHeight="1">
      <c r="A55" s="126"/>
      <c r="B55" s="127" t="s">
        <v>332</v>
      </c>
      <c r="C55" s="127" t="s">
        <v>341</v>
      </c>
      <c r="D55" s="127" t="s">
        <v>449</v>
      </c>
      <c r="E55" s="127" t="s">
        <v>434</v>
      </c>
      <c r="F55" s="127" t="s">
        <v>428</v>
      </c>
      <c r="G55" s="132"/>
      <c r="H55" s="132"/>
      <c r="I55" s="132">
        <v>106.21299999999999</v>
      </c>
      <c r="J55" s="132">
        <v>96.989000000000004</v>
      </c>
      <c r="K55" s="128"/>
      <c r="L55" s="128"/>
      <c r="M55" s="128">
        <f t="shared" si="22"/>
        <v>-9.2239999999999895</v>
      </c>
      <c r="N55" s="128"/>
      <c r="O55" s="128"/>
      <c r="P55" s="128"/>
      <c r="Q55" s="128"/>
      <c r="R55" s="128"/>
      <c r="S55" s="128"/>
    </row>
    <row r="56" spans="1:19" ht="21" customHeight="1">
      <c r="A56" s="126"/>
      <c r="B56" s="127" t="s">
        <v>332</v>
      </c>
      <c r="C56" s="127" t="s">
        <v>341</v>
      </c>
      <c r="D56" s="127" t="s">
        <v>449</v>
      </c>
      <c r="E56" s="127" t="s">
        <v>434</v>
      </c>
      <c r="F56" s="127" t="s">
        <v>453</v>
      </c>
      <c r="G56" s="132"/>
      <c r="H56" s="132"/>
      <c r="I56" s="132">
        <v>98.292000000000002</v>
      </c>
      <c r="J56" s="132">
        <v>98.3</v>
      </c>
      <c r="K56" s="128"/>
      <c r="L56" s="128"/>
      <c r="M56" s="128">
        <f t="shared" si="22"/>
        <v>7.9999999999955662E-3</v>
      </c>
      <c r="N56" s="128"/>
      <c r="O56" s="128"/>
      <c r="P56" s="128"/>
      <c r="Q56" s="128"/>
      <c r="R56" s="128"/>
      <c r="S56" s="128"/>
    </row>
    <row r="57" spans="1:19" ht="18.75" customHeight="1">
      <c r="A57" s="126"/>
      <c r="B57" s="127" t="s">
        <v>332</v>
      </c>
      <c r="C57" s="127" t="s">
        <v>341</v>
      </c>
      <c r="D57" s="127" t="s">
        <v>449</v>
      </c>
      <c r="E57" s="127" t="s">
        <v>434</v>
      </c>
      <c r="F57" s="127" t="s">
        <v>454</v>
      </c>
      <c r="G57" s="132"/>
      <c r="H57" s="132"/>
      <c r="I57" s="132">
        <v>204.989</v>
      </c>
      <c r="J57" s="132">
        <v>204.989</v>
      </c>
      <c r="K57" s="128"/>
      <c r="L57" s="128"/>
      <c r="M57" s="128">
        <f t="shared" si="22"/>
        <v>0</v>
      </c>
      <c r="N57" s="128"/>
      <c r="O57" s="128"/>
      <c r="P57" s="128"/>
      <c r="Q57" s="128"/>
      <c r="R57" s="128"/>
      <c r="S57" s="128"/>
    </row>
    <row r="58" spans="1:19" ht="18.75" customHeight="1">
      <c r="A58" s="126"/>
      <c r="B58" s="127" t="s">
        <v>332</v>
      </c>
      <c r="C58" s="127" t="s">
        <v>341</v>
      </c>
      <c r="D58" s="127" t="s">
        <v>449</v>
      </c>
      <c r="E58" s="127" t="s">
        <v>434</v>
      </c>
      <c r="F58" s="127" t="s">
        <v>435</v>
      </c>
      <c r="G58" s="132"/>
      <c r="H58" s="132"/>
      <c r="I58" s="132">
        <v>173.142</v>
      </c>
      <c r="J58" s="132">
        <v>157.529</v>
      </c>
      <c r="K58" s="128"/>
      <c r="L58" s="128"/>
      <c r="M58" s="128">
        <f t="shared" si="22"/>
        <v>-15.613</v>
      </c>
      <c r="N58" s="128"/>
      <c r="O58" s="128"/>
      <c r="P58" s="128"/>
      <c r="Q58" s="128"/>
      <c r="R58" s="128"/>
      <c r="S58" s="128"/>
    </row>
    <row r="59" spans="1:19" ht="19.5" customHeight="1">
      <c r="A59" s="126"/>
      <c r="B59" s="127" t="s">
        <v>332</v>
      </c>
      <c r="C59" s="127" t="s">
        <v>341</v>
      </c>
      <c r="D59" s="127" t="s">
        <v>449</v>
      </c>
      <c r="E59" s="127" t="s">
        <v>434</v>
      </c>
      <c r="F59" s="127" t="s">
        <v>455</v>
      </c>
      <c r="G59" s="132"/>
      <c r="H59" s="132"/>
      <c r="I59" s="132">
        <v>241.79302999999999</v>
      </c>
      <c r="J59" s="132">
        <v>241.79300000000001</v>
      </c>
      <c r="K59" s="128"/>
      <c r="L59" s="128"/>
      <c r="M59" s="128">
        <f t="shared" si="22"/>
        <v>-2.99999999811007E-5</v>
      </c>
      <c r="N59" s="128"/>
      <c r="O59" s="128"/>
      <c r="P59" s="128"/>
      <c r="Q59" s="128"/>
      <c r="R59" s="128"/>
      <c r="S59" s="128"/>
    </row>
    <row r="60" spans="1:19" ht="26.25" customHeight="1">
      <c r="A60" s="126" t="s">
        <v>456</v>
      </c>
      <c r="B60" s="127" t="s">
        <v>332</v>
      </c>
      <c r="C60" s="127" t="s">
        <v>341</v>
      </c>
      <c r="D60" s="127" t="s">
        <v>449</v>
      </c>
      <c r="E60" s="127" t="s">
        <v>457</v>
      </c>
      <c r="F60" s="127"/>
      <c r="G60" s="132">
        <f>SUM(G61)+G62</f>
        <v>0</v>
      </c>
      <c r="H60" s="132">
        <f>SUM(H61)+H62</f>
        <v>70.699999999999989</v>
      </c>
      <c r="I60" s="132">
        <f>SUM(I61)+I62</f>
        <v>70.75</v>
      </c>
      <c r="J60" s="132">
        <f>SUM(J61)+J62</f>
        <v>70.75</v>
      </c>
      <c r="K60" s="128">
        <f t="shared" ref="K60:K65" si="23">I60-H60</f>
        <v>5.0000000000011369E-2</v>
      </c>
      <c r="L60" s="128">
        <f t="shared" ref="L60:L65" si="24">I60/H60*100</f>
        <v>100.07072135785009</v>
      </c>
      <c r="M60" s="128">
        <f t="shared" si="22"/>
        <v>0</v>
      </c>
      <c r="N60" s="128">
        <f t="shared" ref="N60:N65" si="25">J60/I60*100</f>
        <v>100</v>
      </c>
      <c r="O60" s="128"/>
      <c r="P60" s="128">
        <f t="shared" ref="P60:P65" si="26">J60/H60*100</f>
        <v>100.07072135785009</v>
      </c>
      <c r="Q60" s="128">
        <f t="shared" ref="Q60:Q65" si="27">H60-G60</f>
        <v>70.699999999999989</v>
      </c>
      <c r="R60" s="128"/>
      <c r="S60" s="128">
        <f t="shared" ref="S60:S65" si="28">J60/$J$386*100</f>
        <v>6.678733788401027E-2</v>
      </c>
    </row>
    <row r="61" spans="1:19" ht="25.5" customHeight="1">
      <c r="A61" s="130" t="s">
        <v>458</v>
      </c>
      <c r="B61" s="127" t="s">
        <v>332</v>
      </c>
      <c r="C61" s="127" t="s">
        <v>341</v>
      </c>
      <c r="D61" s="127" t="s">
        <v>449</v>
      </c>
      <c r="E61" s="127" t="s">
        <v>459</v>
      </c>
      <c r="F61" s="127" t="s">
        <v>460</v>
      </c>
      <c r="G61" s="132"/>
      <c r="H61" s="132">
        <v>70.599999999999994</v>
      </c>
      <c r="I61" s="132">
        <v>70.632999999999996</v>
      </c>
      <c r="J61" s="132">
        <v>70.632999999999996</v>
      </c>
      <c r="K61" s="128">
        <f t="shared" si="23"/>
        <v>3.3000000000001251E-2</v>
      </c>
      <c r="L61" s="128">
        <f t="shared" si="24"/>
        <v>100.04674220963172</v>
      </c>
      <c r="M61" s="128">
        <f t="shared" si="22"/>
        <v>0</v>
      </c>
      <c r="N61" s="128">
        <f t="shared" si="25"/>
        <v>100</v>
      </c>
      <c r="O61" s="128"/>
      <c r="P61" s="128">
        <f t="shared" si="26"/>
        <v>100.04674220963172</v>
      </c>
      <c r="Q61" s="128">
        <f t="shared" si="27"/>
        <v>70.599999999999994</v>
      </c>
      <c r="R61" s="128"/>
      <c r="S61" s="128">
        <f t="shared" si="28"/>
        <v>6.6676890978958264E-2</v>
      </c>
    </row>
    <row r="62" spans="1:19" ht="24" customHeight="1">
      <c r="A62" s="126" t="s">
        <v>461</v>
      </c>
      <c r="B62" s="127" t="s">
        <v>332</v>
      </c>
      <c r="C62" s="127" t="s">
        <v>341</v>
      </c>
      <c r="D62" s="127" t="s">
        <v>449</v>
      </c>
      <c r="E62" s="127" t="s">
        <v>462</v>
      </c>
      <c r="F62" s="127" t="s">
        <v>463</v>
      </c>
      <c r="G62" s="128"/>
      <c r="H62" s="128">
        <v>0.1</v>
      </c>
      <c r="I62" s="128">
        <v>0.11700000000000001</v>
      </c>
      <c r="J62" s="128">
        <v>0.11700000000000001</v>
      </c>
      <c r="K62" s="128">
        <f t="shared" si="23"/>
        <v>1.7000000000000001E-2</v>
      </c>
      <c r="L62" s="128">
        <f t="shared" si="24"/>
        <v>117</v>
      </c>
      <c r="M62" s="128">
        <f t="shared" si="22"/>
        <v>0</v>
      </c>
      <c r="N62" s="128">
        <f t="shared" si="25"/>
        <v>100</v>
      </c>
      <c r="O62" s="128"/>
      <c r="P62" s="128">
        <f t="shared" si="26"/>
        <v>117</v>
      </c>
      <c r="Q62" s="128">
        <f t="shared" si="27"/>
        <v>0.1</v>
      </c>
      <c r="R62" s="128"/>
      <c r="S62" s="128">
        <f t="shared" si="28"/>
        <v>1.1044690505200286E-4</v>
      </c>
    </row>
    <row r="63" spans="1:19" ht="68.25" customHeight="1">
      <c r="A63" s="136" t="s">
        <v>464</v>
      </c>
      <c r="B63" s="127" t="s">
        <v>332</v>
      </c>
      <c r="C63" s="127" t="s">
        <v>341</v>
      </c>
      <c r="D63" s="127" t="s">
        <v>465</v>
      </c>
      <c r="E63" s="127"/>
      <c r="F63" s="127"/>
      <c r="G63" s="132">
        <f>SUM(G64)</f>
        <v>450</v>
      </c>
      <c r="H63" s="132">
        <f>SUM(H64)</f>
        <v>816.8</v>
      </c>
      <c r="I63" s="132">
        <f>SUM(I64)</f>
        <v>816.8299300000001</v>
      </c>
      <c r="J63" s="132">
        <f>SUM(J64)</f>
        <v>811.59392000000003</v>
      </c>
      <c r="K63" s="128">
        <f t="shared" si="23"/>
        <v>2.9930000000149448E-2</v>
      </c>
      <c r="L63" s="128">
        <f t="shared" si="24"/>
        <v>100.0036642997062</v>
      </c>
      <c r="M63" s="128">
        <f t="shared" si="22"/>
        <v>-5.2360100000000784</v>
      </c>
      <c r="N63" s="128">
        <f t="shared" si="25"/>
        <v>99.358984066609793</v>
      </c>
      <c r="O63" s="128">
        <f>J63/G63*100</f>
        <v>180.35420444444446</v>
      </c>
      <c r="P63" s="128">
        <f t="shared" si="26"/>
        <v>99.362624877571022</v>
      </c>
      <c r="Q63" s="128">
        <f t="shared" si="27"/>
        <v>366.79999999999995</v>
      </c>
      <c r="R63" s="128">
        <f>H63/G63*100</f>
        <v>181.51111111111112</v>
      </c>
      <c r="S63" s="128">
        <f t="shared" si="28"/>
        <v>0.76613706515404101</v>
      </c>
    </row>
    <row r="64" spans="1:19" ht="43.5" customHeight="1">
      <c r="A64" s="126" t="s">
        <v>431</v>
      </c>
      <c r="B64" s="127" t="s">
        <v>332</v>
      </c>
      <c r="C64" s="127" t="s">
        <v>341</v>
      </c>
      <c r="D64" s="127" t="s">
        <v>465</v>
      </c>
      <c r="E64" s="127" t="s">
        <v>432</v>
      </c>
      <c r="F64" s="127"/>
      <c r="G64" s="132">
        <f>G65</f>
        <v>450</v>
      </c>
      <c r="H64" s="132">
        <f>H65</f>
        <v>816.8</v>
      </c>
      <c r="I64" s="132">
        <f>I65</f>
        <v>816.8299300000001</v>
      </c>
      <c r="J64" s="132">
        <f>J65</f>
        <v>811.59392000000003</v>
      </c>
      <c r="K64" s="128">
        <f t="shared" si="23"/>
        <v>2.9930000000149448E-2</v>
      </c>
      <c r="L64" s="128">
        <f t="shared" si="24"/>
        <v>100.0036642997062</v>
      </c>
      <c r="M64" s="128">
        <f t="shared" si="22"/>
        <v>-5.2360100000000784</v>
      </c>
      <c r="N64" s="128">
        <f t="shared" si="25"/>
        <v>99.358984066609793</v>
      </c>
      <c r="O64" s="128">
        <f>J64/G64*100</f>
        <v>180.35420444444446</v>
      </c>
      <c r="P64" s="128">
        <f t="shared" si="26"/>
        <v>99.362624877571022</v>
      </c>
      <c r="Q64" s="128">
        <f t="shared" si="27"/>
        <v>366.79999999999995</v>
      </c>
      <c r="R64" s="128">
        <f>H64/G64*100</f>
        <v>181.51111111111112</v>
      </c>
      <c r="S64" s="128">
        <f t="shared" si="28"/>
        <v>0.76613706515404101</v>
      </c>
    </row>
    <row r="65" spans="1:19" ht="44.25" customHeight="1">
      <c r="A65" s="137" t="s">
        <v>433</v>
      </c>
      <c r="B65" s="127" t="s">
        <v>332</v>
      </c>
      <c r="C65" s="127" t="s">
        <v>341</v>
      </c>
      <c r="D65" s="127" t="s">
        <v>465</v>
      </c>
      <c r="E65" s="127" t="s">
        <v>450</v>
      </c>
      <c r="F65" s="127"/>
      <c r="G65" s="132">
        <v>450</v>
      </c>
      <c r="H65" s="132">
        <v>816.8</v>
      </c>
      <c r="I65" s="132">
        <f>I66+I67</f>
        <v>816.8299300000001</v>
      </c>
      <c r="J65" s="132">
        <f>J66+J67</f>
        <v>811.59392000000003</v>
      </c>
      <c r="K65" s="128">
        <f t="shared" si="23"/>
        <v>2.9930000000149448E-2</v>
      </c>
      <c r="L65" s="128">
        <f t="shared" si="24"/>
        <v>100.0036642997062</v>
      </c>
      <c r="M65" s="128">
        <f t="shared" si="22"/>
        <v>-5.2360100000000784</v>
      </c>
      <c r="N65" s="128">
        <f t="shared" si="25"/>
        <v>99.358984066609793</v>
      </c>
      <c r="O65" s="128">
        <f>J65/G65*100</f>
        <v>180.35420444444446</v>
      </c>
      <c r="P65" s="128">
        <f t="shared" si="26"/>
        <v>99.362624877571022</v>
      </c>
      <c r="Q65" s="128">
        <f t="shared" si="27"/>
        <v>366.79999999999995</v>
      </c>
      <c r="R65" s="128">
        <f>H65/G65*100</f>
        <v>181.51111111111112</v>
      </c>
      <c r="S65" s="128">
        <f t="shared" si="28"/>
        <v>0.76613706515404101</v>
      </c>
    </row>
    <row r="66" spans="1:19" ht="24" customHeight="1">
      <c r="A66" s="137"/>
      <c r="B66" s="127" t="s">
        <v>332</v>
      </c>
      <c r="C66" s="127" t="s">
        <v>341</v>
      </c>
      <c r="D66" s="127" t="s">
        <v>465</v>
      </c>
      <c r="E66" s="127" t="s">
        <v>434</v>
      </c>
      <c r="F66" s="127" t="s">
        <v>451</v>
      </c>
      <c r="G66" s="132"/>
      <c r="H66" s="132"/>
      <c r="I66" s="132">
        <v>233.916</v>
      </c>
      <c r="J66" s="132">
        <v>228.68</v>
      </c>
      <c r="K66" s="128"/>
      <c r="L66" s="128"/>
      <c r="M66" s="128"/>
      <c r="N66" s="128"/>
      <c r="O66" s="128"/>
      <c r="P66" s="128"/>
      <c r="Q66" s="128"/>
      <c r="R66" s="128"/>
      <c r="S66" s="128"/>
    </row>
    <row r="67" spans="1:19" ht="24.75" customHeight="1">
      <c r="A67" s="137"/>
      <c r="B67" s="127" t="s">
        <v>332</v>
      </c>
      <c r="C67" s="127" t="s">
        <v>341</v>
      </c>
      <c r="D67" s="127" t="s">
        <v>465</v>
      </c>
      <c r="E67" s="127" t="s">
        <v>434</v>
      </c>
      <c r="F67" s="127" t="s">
        <v>428</v>
      </c>
      <c r="G67" s="132"/>
      <c r="H67" s="132"/>
      <c r="I67" s="132">
        <v>582.91393000000005</v>
      </c>
      <c r="J67" s="132">
        <v>582.91391999999996</v>
      </c>
      <c r="K67" s="128"/>
      <c r="L67" s="128"/>
      <c r="M67" s="128"/>
      <c r="N67" s="128"/>
      <c r="O67" s="128"/>
      <c r="P67" s="128"/>
      <c r="Q67" s="128"/>
      <c r="R67" s="128"/>
      <c r="S67" s="128"/>
    </row>
    <row r="68" spans="1:19" ht="108.75" customHeight="1">
      <c r="A68" s="134" t="s">
        <v>445</v>
      </c>
      <c r="B68" s="127" t="s">
        <v>332</v>
      </c>
      <c r="C68" s="127" t="s">
        <v>341</v>
      </c>
      <c r="D68" s="127" t="s">
        <v>446</v>
      </c>
      <c r="E68" s="127"/>
      <c r="F68" s="127"/>
      <c r="G68" s="132">
        <f t="shared" ref="G68:J69" si="29">G69</f>
        <v>0</v>
      </c>
      <c r="H68" s="132">
        <f>H69</f>
        <v>109.4</v>
      </c>
      <c r="I68" s="132">
        <f t="shared" si="29"/>
        <v>109.4</v>
      </c>
      <c r="J68" s="132">
        <f t="shared" si="29"/>
        <v>109.36799999999999</v>
      </c>
      <c r="K68" s="128">
        <f>I68-H68</f>
        <v>0</v>
      </c>
      <c r="L68" s="128">
        <f>I68/H68*100</f>
        <v>100</v>
      </c>
      <c r="M68" s="128">
        <f t="shared" si="22"/>
        <v>-3.2000000000010687E-2</v>
      </c>
      <c r="N68" s="128">
        <f>J68/I68*100</f>
        <v>99.970749542961599</v>
      </c>
      <c r="O68" s="128"/>
      <c r="P68" s="128">
        <f>J68/H68*100</f>
        <v>99.970749542961599</v>
      </c>
      <c r="Q68" s="128">
        <f>H68-G68</f>
        <v>109.4</v>
      </c>
      <c r="R68" s="128"/>
      <c r="S68" s="128">
        <f>J68/$J$386*100</f>
        <v>0.10324236847630297</v>
      </c>
    </row>
    <row r="69" spans="1:19" ht="78.75" customHeight="1">
      <c r="A69" s="131" t="s">
        <v>419</v>
      </c>
      <c r="B69" s="127" t="s">
        <v>332</v>
      </c>
      <c r="C69" s="127" t="s">
        <v>341</v>
      </c>
      <c r="D69" s="127" t="s">
        <v>446</v>
      </c>
      <c r="E69" s="127" t="s">
        <v>420</v>
      </c>
      <c r="F69" s="127"/>
      <c r="G69" s="132">
        <f t="shared" si="29"/>
        <v>0</v>
      </c>
      <c r="H69" s="132">
        <f>H70</f>
        <v>109.4</v>
      </c>
      <c r="I69" s="132">
        <f t="shared" si="29"/>
        <v>109.4</v>
      </c>
      <c r="J69" s="132">
        <f t="shared" si="29"/>
        <v>109.36799999999999</v>
      </c>
      <c r="K69" s="128">
        <f>I69-H69</f>
        <v>0</v>
      </c>
      <c r="L69" s="128">
        <f>I69/H69*100</f>
        <v>100</v>
      </c>
      <c r="M69" s="128">
        <f t="shared" si="22"/>
        <v>-3.2000000000010687E-2</v>
      </c>
      <c r="N69" s="128">
        <f>J69/I69*100</f>
        <v>99.970749542961599</v>
      </c>
      <c r="O69" s="128"/>
      <c r="P69" s="128">
        <f>J69/H69*100</f>
        <v>99.970749542961599</v>
      </c>
      <c r="Q69" s="128">
        <f>H69-G69</f>
        <v>109.4</v>
      </c>
      <c r="R69" s="128"/>
      <c r="S69" s="128">
        <f>J69/$J$386*100</f>
        <v>0.10324236847630297</v>
      </c>
    </row>
    <row r="70" spans="1:19" ht="42.75" customHeight="1">
      <c r="A70" s="126" t="s">
        <v>421</v>
      </c>
      <c r="B70" s="127" t="s">
        <v>332</v>
      </c>
      <c r="C70" s="127" t="s">
        <v>341</v>
      </c>
      <c r="D70" s="127" t="s">
        <v>446</v>
      </c>
      <c r="E70" s="127" t="s">
        <v>422</v>
      </c>
      <c r="F70" s="127"/>
      <c r="G70" s="132"/>
      <c r="H70" s="132">
        <v>109.4</v>
      </c>
      <c r="I70" s="132">
        <f>I71+I72</f>
        <v>109.4</v>
      </c>
      <c r="J70" s="132">
        <f>J71+J72</f>
        <v>109.36799999999999</v>
      </c>
      <c r="K70" s="128">
        <f>I70-H70</f>
        <v>0</v>
      </c>
      <c r="L70" s="128">
        <f>I70/H70*100</f>
        <v>100</v>
      </c>
      <c r="M70" s="128">
        <f t="shared" si="22"/>
        <v>-3.2000000000010687E-2</v>
      </c>
      <c r="N70" s="128">
        <f>J70/I70*100</f>
        <v>99.970749542961599</v>
      </c>
      <c r="O70" s="128"/>
      <c r="P70" s="128">
        <f>J70/H70*100</f>
        <v>99.970749542961599</v>
      </c>
      <c r="Q70" s="128">
        <f>H70-G70</f>
        <v>109.4</v>
      </c>
      <c r="R70" s="128"/>
      <c r="S70" s="128">
        <f>J70/$J$386*100</f>
        <v>0.10324236847630297</v>
      </c>
    </row>
    <row r="71" spans="1:19" ht="21.75" customHeight="1">
      <c r="A71" s="126"/>
      <c r="B71" s="127" t="s">
        <v>332</v>
      </c>
      <c r="C71" s="127" t="s">
        <v>341</v>
      </c>
      <c r="D71" s="127" t="s">
        <v>446</v>
      </c>
      <c r="E71" s="127" t="s">
        <v>423</v>
      </c>
      <c r="F71" s="127" t="s">
        <v>424</v>
      </c>
      <c r="G71" s="132"/>
      <c r="H71" s="132"/>
      <c r="I71" s="132">
        <v>84</v>
      </c>
      <c r="J71" s="132">
        <v>84</v>
      </c>
      <c r="K71" s="128"/>
      <c r="L71" s="128"/>
      <c r="M71" s="128"/>
      <c r="N71" s="128"/>
      <c r="O71" s="128"/>
      <c r="P71" s="128"/>
      <c r="Q71" s="128"/>
      <c r="R71" s="128"/>
      <c r="S71" s="128"/>
    </row>
    <row r="72" spans="1:19" ht="21.75" customHeight="1">
      <c r="A72" s="126"/>
      <c r="B72" s="127" t="s">
        <v>332</v>
      </c>
      <c r="C72" s="127" t="s">
        <v>341</v>
      </c>
      <c r="D72" s="127" t="s">
        <v>446</v>
      </c>
      <c r="E72" s="127" t="s">
        <v>429</v>
      </c>
      <c r="F72" s="127" t="s">
        <v>430</v>
      </c>
      <c r="G72" s="132"/>
      <c r="H72" s="132"/>
      <c r="I72" s="132">
        <v>25.4</v>
      </c>
      <c r="J72" s="132">
        <v>25.367999999999999</v>
      </c>
      <c r="K72" s="128"/>
      <c r="L72" s="128"/>
      <c r="M72" s="128"/>
      <c r="N72" s="128"/>
      <c r="O72" s="128"/>
      <c r="P72" s="128"/>
      <c r="Q72" s="128"/>
      <c r="R72" s="128"/>
      <c r="S72" s="128"/>
    </row>
    <row r="73" spans="1:19" ht="63.75" customHeight="1">
      <c r="A73" s="138" t="s">
        <v>466</v>
      </c>
      <c r="B73" s="124" t="s">
        <v>332</v>
      </c>
      <c r="C73" s="124" t="s">
        <v>344</v>
      </c>
      <c r="D73" s="124"/>
      <c r="E73" s="124"/>
      <c r="F73" s="124"/>
      <c r="G73" s="125">
        <f t="shared" ref="G73:J77" si="30">SUM(G74)</f>
        <v>56.2</v>
      </c>
      <c r="H73" s="125">
        <f>SUM(H74)</f>
        <v>51.4</v>
      </c>
      <c r="I73" s="125">
        <f t="shared" si="30"/>
        <v>51.389400000000002</v>
      </c>
      <c r="J73" s="125">
        <f t="shared" si="30"/>
        <v>51.389400000000002</v>
      </c>
      <c r="K73" s="125">
        <f t="shared" ref="K73:K134" si="31">I73-H73</f>
        <v>-1.0599999999996612E-2</v>
      </c>
      <c r="L73" s="125">
        <f t="shared" ref="L73:L134" si="32">I73/H73*100</f>
        <v>99.979377431906627</v>
      </c>
      <c r="M73" s="125">
        <f t="shared" ref="M73:M134" si="33">J73-I73</f>
        <v>0</v>
      </c>
      <c r="N73" s="125">
        <f t="shared" ref="N73:N134" si="34">J73/I73*100</f>
        <v>100</v>
      </c>
      <c r="O73" s="125">
        <f t="shared" ref="O73:O134" si="35">J73/G73*100</f>
        <v>91.440213523131675</v>
      </c>
      <c r="P73" s="125">
        <f t="shared" ref="P73:P134" si="36">J73/H73*100</f>
        <v>99.979377431906627</v>
      </c>
      <c r="Q73" s="125">
        <f t="shared" ref="Q73:Q134" si="37">H73-G73</f>
        <v>-4.8000000000000043</v>
      </c>
      <c r="R73" s="125">
        <f t="shared" ref="R73:R134" si="38">H73/G73*100</f>
        <v>91.459074733096074</v>
      </c>
      <c r="S73" s="125">
        <f t="shared" ref="S73:S99" si="39">J73/$J$386*100</f>
        <v>4.8511112670764064E-2</v>
      </c>
    </row>
    <row r="74" spans="1:19" ht="28.5" customHeight="1">
      <c r="A74" s="139" t="s">
        <v>467</v>
      </c>
      <c r="B74" s="140">
        <v>1</v>
      </c>
      <c r="C74" s="141">
        <v>6</v>
      </c>
      <c r="D74" s="142">
        <v>4110000000</v>
      </c>
      <c r="E74" s="143"/>
      <c r="F74" s="143"/>
      <c r="G74" s="144">
        <f t="shared" si="30"/>
        <v>56.2</v>
      </c>
      <c r="H74" s="144">
        <f>SUM(H75)</f>
        <v>51.4</v>
      </c>
      <c r="I74" s="128">
        <f t="shared" si="30"/>
        <v>51.389400000000002</v>
      </c>
      <c r="J74" s="128">
        <f t="shared" si="30"/>
        <v>51.389400000000002</v>
      </c>
      <c r="K74" s="128">
        <f t="shared" si="31"/>
        <v>-1.0599999999996612E-2</v>
      </c>
      <c r="L74" s="128">
        <f t="shared" si="32"/>
        <v>99.979377431906627</v>
      </c>
      <c r="M74" s="128">
        <f t="shared" si="33"/>
        <v>0</v>
      </c>
      <c r="N74" s="128">
        <f t="shared" si="34"/>
        <v>100</v>
      </c>
      <c r="O74" s="128">
        <f t="shared" si="35"/>
        <v>91.440213523131675</v>
      </c>
      <c r="P74" s="128">
        <f t="shared" si="36"/>
        <v>99.979377431906627</v>
      </c>
      <c r="Q74" s="128">
        <f t="shared" si="37"/>
        <v>-4.8000000000000043</v>
      </c>
      <c r="R74" s="128">
        <f t="shared" si="38"/>
        <v>91.459074733096074</v>
      </c>
      <c r="S74" s="128">
        <f t="shared" si="39"/>
        <v>4.8511112670764064E-2</v>
      </c>
    </row>
    <row r="75" spans="1:19" ht="109.5" customHeight="1">
      <c r="A75" s="131" t="s">
        <v>468</v>
      </c>
      <c r="B75" s="140">
        <v>1</v>
      </c>
      <c r="C75" s="141">
        <v>6</v>
      </c>
      <c r="D75" s="142">
        <v>4110080000</v>
      </c>
      <c r="E75" s="143"/>
      <c r="F75" s="143"/>
      <c r="G75" s="144">
        <f t="shared" si="30"/>
        <v>56.2</v>
      </c>
      <c r="H75" s="144">
        <f>SUM(H76)</f>
        <v>51.4</v>
      </c>
      <c r="I75" s="128">
        <f t="shared" si="30"/>
        <v>51.389400000000002</v>
      </c>
      <c r="J75" s="128">
        <f t="shared" si="30"/>
        <v>51.389400000000002</v>
      </c>
      <c r="K75" s="128">
        <f t="shared" si="31"/>
        <v>-1.0599999999996612E-2</v>
      </c>
      <c r="L75" s="128">
        <f t="shared" si="32"/>
        <v>99.979377431906627</v>
      </c>
      <c r="M75" s="128">
        <f t="shared" si="33"/>
        <v>0</v>
      </c>
      <c r="N75" s="128">
        <f t="shared" si="34"/>
        <v>100</v>
      </c>
      <c r="O75" s="128">
        <f t="shared" si="35"/>
        <v>91.440213523131675</v>
      </c>
      <c r="P75" s="128">
        <f t="shared" si="36"/>
        <v>99.979377431906627</v>
      </c>
      <c r="Q75" s="128">
        <f t="shared" si="37"/>
        <v>-4.8000000000000043</v>
      </c>
      <c r="R75" s="128">
        <f t="shared" si="38"/>
        <v>91.459074733096074</v>
      </c>
      <c r="S75" s="128">
        <f t="shared" si="39"/>
        <v>4.8511112670764064E-2</v>
      </c>
    </row>
    <row r="76" spans="1:19" ht="66" customHeight="1">
      <c r="A76" s="131" t="s">
        <v>469</v>
      </c>
      <c r="B76" s="140">
        <v>1</v>
      </c>
      <c r="C76" s="141">
        <v>6</v>
      </c>
      <c r="D76" s="142">
        <v>4110089020</v>
      </c>
      <c r="E76" s="143"/>
      <c r="F76" s="143"/>
      <c r="G76" s="144">
        <f t="shared" si="30"/>
        <v>56.2</v>
      </c>
      <c r="H76" s="144">
        <f>SUM(H77)</f>
        <v>51.4</v>
      </c>
      <c r="I76" s="128">
        <f t="shared" si="30"/>
        <v>51.389400000000002</v>
      </c>
      <c r="J76" s="128">
        <f t="shared" si="30"/>
        <v>51.389400000000002</v>
      </c>
      <c r="K76" s="128">
        <f t="shared" si="31"/>
        <v>-1.0599999999996612E-2</v>
      </c>
      <c r="L76" s="128">
        <f t="shared" si="32"/>
        <v>99.979377431906627</v>
      </c>
      <c r="M76" s="128">
        <f t="shared" si="33"/>
        <v>0</v>
      </c>
      <c r="N76" s="128">
        <f t="shared" si="34"/>
        <v>100</v>
      </c>
      <c r="O76" s="128">
        <f t="shared" si="35"/>
        <v>91.440213523131675</v>
      </c>
      <c r="P76" s="128">
        <f t="shared" si="36"/>
        <v>99.979377431906627</v>
      </c>
      <c r="Q76" s="128">
        <f t="shared" si="37"/>
        <v>-4.8000000000000043</v>
      </c>
      <c r="R76" s="128">
        <f t="shared" si="38"/>
        <v>91.459074733096074</v>
      </c>
      <c r="S76" s="128">
        <f t="shared" si="39"/>
        <v>4.8511112670764064E-2</v>
      </c>
    </row>
    <row r="77" spans="1:19" ht="31.5" customHeight="1">
      <c r="A77" s="139" t="s">
        <v>470</v>
      </c>
      <c r="B77" s="140">
        <v>1</v>
      </c>
      <c r="C77" s="141">
        <v>6</v>
      </c>
      <c r="D77" s="142">
        <v>4110089020</v>
      </c>
      <c r="E77" s="143">
        <v>500</v>
      </c>
      <c r="F77" s="143"/>
      <c r="G77" s="144">
        <f t="shared" si="30"/>
        <v>56.2</v>
      </c>
      <c r="H77" s="144">
        <f>SUM(H78)</f>
        <v>51.4</v>
      </c>
      <c r="I77" s="128">
        <f t="shared" si="30"/>
        <v>51.389400000000002</v>
      </c>
      <c r="J77" s="128">
        <f t="shared" si="30"/>
        <v>51.389400000000002</v>
      </c>
      <c r="K77" s="128">
        <f t="shared" si="31"/>
        <v>-1.0599999999996612E-2</v>
      </c>
      <c r="L77" s="128">
        <f t="shared" si="32"/>
        <v>99.979377431906627</v>
      </c>
      <c r="M77" s="128">
        <f t="shared" si="33"/>
        <v>0</v>
      </c>
      <c r="N77" s="128">
        <f t="shared" si="34"/>
        <v>100</v>
      </c>
      <c r="O77" s="128">
        <f t="shared" si="35"/>
        <v>91.440213523131675</v>
      </c>
      <c r="P77" s="128">
        <f t="shared" si="36"/>
        <v>99.979377431906627</v>
      </c>
      <c r="Q77" s="128">
        <f t="shared" si="37"/>
        <v>-4.8000000000000043</v>
      </c>
      <c r="R77" s="128">
        <f t="shared" si="38"/>
        <v>91.459074733096074</v>
      </c>
      <c r="S77" s="128">
        <f t="shared" si="39"/>
        <v>4.8511112670764064E-2</v>
      </c>
    </row>
    <row r="78" spans="1:19" ht="33" customHeight="1">
      <c r="A78" s="139" t="s">
        <v>471</v>
      </c>
      <c r="B78" s="140">
        <v>1</v>
      </c>
      <c r="C78" s="141">
        <v>6</v>
      </c>
      <c r="D78" s="142">
        <v>4110089020</v>
      </c>
      <c r="E78" s="143">
        <v>540</v>
      </c>
      <c r="F78" s="143">
        <v>251</v>
      </c>
      <c r="G78" s="145">
        <v>56.2</v>
      </c>
      <c r="H78" s="145">
        <v>51.4</v>
      </c>
      <c r="I78" s="132">
        <v>51.389400000000002</v>
      </c>
      <c r="J78" s="132">
        <v>51.389400000000002</v>
      </c>
      <c r="K78" s="128">
        <f t="shared" si="31"/>
        <v>-1.0599999999996612E-2</v>
      </c>
      <c r="L78" s="128">
        <f t="shared" si="32"/>
        <v>99.979377431906627</v>
      </c>
      <c r="M78" s="128">
        <f t="shared" si="33"/>
        <v>0</v>
      </c>
      <c r="N78" s="128">
        <f t="shared" si="34"/>
        <v>100</v>
      </c>
      <c r="O78" s="128">
        <f t="shared" si="35"/>
        <v>91.440213523131675</v>
      </c>
      <c r="P78" s="128">
        <f t="shared" si="36"/>
        <v>99.979377431906627</v>
      </c>
      <c r="Q78" s="128">
        <f t="shared" si="37"/>
        <v>-4.8000000000000043</v>
      </c>
      <c r="R78" s="128">
        <f t="shared" si="38"/>
        <v>91.459074733096074</v>
      </c>
      <c r="S78" s="128">
        <f t="shared" si="39"/>
        <v>4.8511112670764064E-2</v>
      </c>
    </row>
    <row r="79" spans="1:19" ht="24" customHeight="1">
      <c r="A79" s="123" t="s">
        <v>348</v>
      </c>
      <c r="B79" s="124" t="s">
        <v>332</v>
      </c>
      <c r="C79" s="124" t="s">
        <v>349</v>
      </c>
      <c r="D79" s="124"/>
      <c r="E79" s="124"/>
      <c r="F79" s="124"/>
      <c r="G79" s="125">
        <f t="shared" ref="G79:J83" si="40">G80</f>
        <v>138</v>
      </c>
      <c r="H79" s="125">
        <f>H80</f>
        <v>138</v>
      </c>
      <c r="I79" s="125">
        <f t="shared" si="40"/>
        <v>138</v>
      </c>
      <c r="J79" s="125">
        <f t="shared" si="40"/>
        <v>0</v>
      </c>
      <c r="K79" s="125">
        <f t="shared" si="31"/>
        <v>0</v>
      </c>
      <c r="L79" s="125">
        <f t="shared" si="32"/>
        <v>100</v>
      </c>
      <c r="M79" s="125">
        <f t="shared" si="33"/>
        <v>-138</v>
      </c>
      <c r="N79" s="125">
        <f t="shared" si="34"/>
        <v>0</v>
      </c>
      <c r="O79" s="125">
        <f t="shared" si="35"/>
        <v>0</v>
      </c>
      <c r="P79" s="125">
        <f t="shared" si="36"/>
        <v>0</v>
      </c>
      <c r="Q79" s="125">
        <f t="shared" si="37"/>
        <v>0</v>
      </c>
      <c r="R79" s="125">
        <f t="shared" si="38"/>
        <v>100</v>
      </c>
      <c r="S79" s="125">
        <f t="shared" si="39"/>
        <v>0</v>
      </c>
    </row>
    <row r="80" spans="1:19" ht="35.25" customHeight="1">
      <c r="A80" s="126" t="s">
        <v>413</v>
      </c>
      <c r="B80" s="127" t="s">
        <v>332</v>
      </c>
      <c r="C80" s="127" t="s">
        <v>349</v>
      </c>
      <c r="D80" s="127" t="s">
        <v>414</v>
      </c>
      <c r="E80" s="127"/>
      <c r="F80" s="127"/>
      <c r="G80" s="128">
        <f t="shared" si="40"/>
        <v>138</v>
      </c>
      <c r="H80" s="128">
        <f>H81</f>
        <v>138</v>
      </c>
      <c r="I80" s="128">
        <f t="shared" si="40"/>
        <v>138</v>
      </c>
      <c r="J80" s="128">
        <f t="shared" si="40"/>
        <v>0</v>
      </c>
      <c r="K80" s="128">
        <f t="shared" si="31"/>
        <v>0</v>
      </c>
      <c r="L80" s="128">
        <f t="shared" si="32"/>
        <v>100</v>
      </c>
      <c r="M80" s="128">
        <f t="shared" si="33"/>
        <v>-138</v>
      </c>
      <c r="N80" s="128">
        <f t="shared" si="34"/>
        <v>0</v>
      </c>
      <c r="O80" s="128">
        <f t="shared" si="35"/>
        <v>0</v>
      </c>
      <c r="P80" s="128">
        <f t="shared" si="36"/>
        <v>0</v>
      </c>
      <c r="Q80" s="128">
        <f t="shared" si="37"/>
        <v>0</v>
      </c>
      <c r="R80" s="128">
        <f t="shared" si="38"/>
        <v>100</v>
      </c>
      <c r="S80" s="128">
        <f t="shared" si="39"/>
        <v>0</v>
      </c>
    </row>
    <row r="81" spans="1:19" ht="57" customHeight="1">
      <c r="A81" s="126" t="s">
        <v>472</v>
      </c>
      <c r="B81" s="127" t="s">
        <v>332</v>
      </c>
      <c r="C81" s="127" t="s">
        <v>349</v>
      </c>
      <c r="D81" s="127" t="s">
        <v>473</v>
      </c>
      <c r="E81" s="127"/>
      <c r="F81" s="127"/>
      <c r="G81" s="128">
        <f t="shared" si="40"/>
        <v>138</v>
      </c>
      <c r="H81" s="128">
        <f>H82</f>
        <v>138</v>
      </c>
      <c r="I81" s="128">
        <f t="shared" si="40"/>
        <v>138</v>
      </c>
      <c r="J81" s="128">
        <f t="shared" si="40"/>
        <v>0</v>
      </c>
      <c r="K81" s="128">
        <f t="shared" si="31"/>
        <v>0</v>
      </c>
      <c r="L81" s="128">
        <f t="shared" si="32"/>
        <v>100</v>
      </c>
      <c r="M81" s="128">
        <f t="shared" si="33"/>
        <v>-138</v>
      </c>
      <c r="N81" s="128">
        <f t="shared" si="34"/>
        <v>0</v>
      </c>
      <c r="O81" s="128">
        <f t="shared" si="35"/>
        <v>0</v>
      </c>
      <c r="P81" s="128">
        <f t="shared" si="36"/>
        <v>0</v>
      </c>
      <c r="Q81" s="128">
        <f t="shared" si="37"/>
        <v>0</v>
      </c>
      <c r="R81" s="128">
        <f t="shared" si="38"/>
        <v>100</v>
      </c>
      <c r="S81" s="128">
        <f t="shared" si="39"/>
        <v>0</v>
      </c>
    </row>
    <row r="82" spans="1:19" ht="38.25" customHeight="1">
      <c r="A82" s="126" t="s">
        <v>474</v>
      </c>
      <c r="B82" s="127" t="s">
        <v>332</v>
      </c>
      <c r="C82" s="127" t="s">
        <v>349</v>
      </c>
      <c r="D82" s="146">
        <v>4080020210</v>
      </c>
      <c r="E82" s="127"/>
      <c r="F82" s="127"/>
      <c r="G82" s="128">
        <f t="shared" si="40"/>
        <v>138</v>
      </c>
      <c r="H82" s="128">
        <f>H83</f>
        <v>138</v>
      </c>
      <c r="I82" s="128">
        <f t="shared" si="40"/>
        <v>138</v>
      </c>
      <c r="J82" s="128">
        <f t="shared" si="40"/>
        <v>0</v>
      </c>
      <c r="K82" s="128">
        <f t="shared" si="31"/>
        <v>0</v>
      </c>
      <c r="L82" s="128">
        <f t="shared" si="32"/>
        <v>100</v>
      </c>
      <c r="M82" s="128">
        <f t="shared" si="33"/>
        <v>-138</v>
      </c>
      <c r="N82" s="128">
        <f t="shared" si="34"/>
        <v>0</v>
      </c>
      <c r="O82" s="128">
        <f t="shared" si="35"/>
        <v>0</v>
      </c>
      <c r="P82" s="128">
        <f t="shared" si="36"/>
        <v>0</v>
      </c>
      <c r="Q82" s="128">
        <f t="shared" si="37"/>
        <v>0</v>
      </c>
      <c r="R82" s="128">
        <f t="shared" si="38"/>
        <v>100</v>
      </c>
      <c r="S82" s="128">
        <f t="shared" si="39"/>
        <v>0</v>
      </c>
    </row>
    <row r="83" spans="1:19" ht="24" customHeight="1">
      <c r="A83" s="147" t="s">
        <v>475</v>
      </c>
      <c r="B83" s="127" t="s">
        <v>332</v>
      </c>
      <c r="C83" s="127" t="s">
        <v>349</v>
      </c>
      <c r="D83" s="146">
        <v>4080020210</v>
      </c>
      <c r="E83" s="127" t="s">
        <v>457</v>
      </c>
      <c r="F83" s="127"/>
      <c r="G83" s="128">
        <f t="shared" si="40"/>
        <v>138</v>
      </c>
      <c r="H83" s="128">
        <f>H84</f>
        <v>138</v>
      </c>
      <c r="I83" s="128">
        <f t="shared" si="40"/>
        <v>138</v>
      </c>
      <c r="J83" s="128">
        <f t="shared" si="40"/>
        <v>0</v>
      </c>
      <c r="K83" s="128">
        <f t="shared" si="31"/>
        <v>0</v>
      </c>
      <c r="L83" s="128">
        <f t="shared" si="32"/>
        <v>100</v>
      </c>
      <c r="M83" s="128">
        <f t="shared" si="33"/>
        <v>-138</v>
      </c>
      <c r="N83" s="128">
        <f t="shared" si="34"/>
        <v>0</v>
      </c>
      <c r="O83" s="128">
        <f t="shared" si="35"/>
        <v>0</v>
      </c>
      <c r="P83" s="128">
        <f t="shared" si="36"/>
        <v>0</v>
      </c>
      <c r="Q83" s="128">
        <f t="shared" si="37"/>
        <v>0</v>
      </c>
      <c r="R83" s="128">
        <f t="shared" si="38"/>
        <v>100</v>
      </c>
      <c r="S83" s="128">
        <f t="shared" si="39"/>
        <v>0</v>
      </c>
    </row>
    <row r="84" spans="1:19" ht="21.75" customHeight="1">
      <c r="A84" s="147" t="s">
        <v>476</v>
      </c>
      <c r="B84" s="127" t="s">
        <v>332</v>
      </c>
      <c r="C84" s="127" t="s">
        <v>349</v>
      </c>
      <c r="D84" s="146">
        <v>4080020210</v>
      </c>
      <c r="E84" s="127" t="s">
        <v>477</v>
      </c>
      <c r="F84" s="127" t="s">
        <v>432</v>
      </c>
      <c r="G84" s="132">
        <v>138</v>
      </c>
      <c r="H84" s="132">
        <v>138</v>
      </c>
      <c r="I84" s="132">
        <v>138</v>
      </c>
      <c r="J84" s="132">
        <v>0</v>
      </c>
      <c r="K84" s="128">
        <f t="shared" si="31"/>
        <v>0</v>
      </c>
      <c r="L84" s="128">
        <f t="shared" si="32"/>
        <v>100</v>
      </c>
      <c r="M84" s="128">
        <f t="shared" si="33"/>
        <v>-138</v>
      </c>
      <c r="N84" s="128">
        <f t="shared" si="34"/>
        <v>0</v>
      </c>
      <c r="O84" s="128">
        <f t="shared" si="35"/>
        <v>0</v>
      </c>
      <c r="P84" s="128">
        <f t="shared" si="36"/>
        <v>0</v>
      </c>
      <c r="Q84" s="128">
        <f t="shared" si="37"/>
        <v>0</v>
      </c>
      <c r="R84" s="128">
        <f t="shared" si="38"/>
        <v>100</v>
      </c>
      <c r="S84" s="128">
        <f t="shared" si="39"/>
        <v>0</v>
      </c>
    </row>
    <row r="85" spans="1:19" s="122" customFormat="1" ht="27" customHeight="1">
      <c r="A85" s="123" t="s">
        <v>350</v>
      </c>
      <c r="B85" s="124" t="s">
        <v>332</v>
      </c>
      <c r="C85" s="124" t="s">
        <v>351</v>
      </c>
      <c r="D85" s="124"/>
      <c r="E85" s="124"/>
      <c r="F85" s="124"/>
      <c r="G85" s="125">
        <f>G86</f>
        <v>4155.5</v>
      </c>
      <c r="H85" s="125">
        <f>H86</f>
        <v>5890.8</v>
      </c>
      <c r="I85" s="125">
        <f>I86</f>
        <v>5890.7881100000004</v>
      </c>
      <c r="J85" s="125">
        <f>J86</f>
        <v>5149.7941700000001</v>
      </c>
      <c r="K85" s="125">
        <f t="shared" si="31"/>
        <v>-1.1889999999766587E-2</v>
      </c>
      <c r="L85" s="125">
        <f t="shared" si="32"/>
        <v>99.99979815984247</v>
      </c>
      <c r="M85" s="125">
        <f t="shared" si="33"/>
        <v>-740.99394000000029</v>
      </c>
      <c r="N85" s="125">
        <f t="shared" si="34"/>
        <v>87.421140836111306</v>
      </c>
      <c r="O85" s="125">
        <f t="shared" si="35"/>
        <v>123.92718493562749</v>
      </c>
      <c r="P85" s="125">
        <f t="shared" si="36"/>
        <v>87.420964385142923</v>
      </c>
      <c r="Q85" s="125">
        <f t="shared" si="37"/>
        <v>1735.3000000000002</v>
      </c>
      <c r="R85" s="125">
        <f t="shared" si="38"/>
        <v>141.75911442666347</v>
      </c>
      <c r="S85" s="125">
        <f t="shared" si="39"/>
        <v>4.8613575019773325</v>
      </c>
    </row>
    <row r="86" spans="1:19" ht="32.25" customHeight="1">
      <c r="A86" s="126" t="s">
        <v>413</v>
      </c>
      <c r="B86" s="127" t="s">
        <v>332</v>
      </c>
      <c r="C86" s="127" t="s">
        <v>351</v>
      </c>
      <c r="D86" s="127" t="s">
        <v>414</v>
      </c>
      <c r="E86" s="148" t="s">
        <v>478</v>
      </c>
      <c r="F86" s="148"/>
      <c r="G86" s="132">
        <f>G87+G112</f>
        <v>4155.5</v>
      </c>
      <c r="H86" s="132">
        <f>H87+H112</f>
        <v>5890.8</v>
      </c>
      <c r="I86" s="132">
        <f>I87+I112</f>
        <v>5890.7881100000004</v>
      </c>
      <c r="J86" s="132">
        <f>J87+J112</f>
        <v>5149.7941700000001</v>
      </c>
      <c r="K86" s="128">
        <f t="shared" si="31"/>
        <v>-1.1889999999766587E-2</v>
      </c>
      <c r="L86" s="128">
        <f t="shared" si="32"/>
        <v>99.99979815984247</v>
      </c>
      <c r="M86" s="128">
        <f t="shared" si="33"/>
        <v>-740.99394000000029</v>
      </c>
      <c r="N86" s="128">
        <f t="shared" si="34"/>
        <v>87.421140836111306</v>
      </c>
      <c r="O86" s="128">
        <f t="shared" si="35"/>
        <v>123.92718493562749</v>
      </c>
      <c r="P86" s="128">
        <f t="shared" si="36"/>
        <v>87.420964385142923</v>
      </c>
      <c r="Q86" s="128">
        <f t="shared" si="37"/>
        <v>1735.3000000000002</v>
      </c>
      <c r="R86" s="128">
        <f t="shared" si="38"/>
        <v>141.75911442666347</v>
      </c>
      <c r="S86" s="128">
        <f t="shared" si="39"/>
        <v>4.8613575019773325</v>
      </c>
    </row>
    <row r="87" spans="1:19" ht="58.5" customHeight="1">
      <c r="A87" s="126" t="s">
        <v>415</v>
      </c>
      <c r="B87" s="127" t="s">
        <v>332</v>
      </c>
      <c r="C87" s="127" t="s">
        <v>351</v>
      </c>
      <c r="D87" s="127" t="s">
        <v>416</v>
      </c>
      <c r="E87" s="148" t="s">
        <v>478</v>
      </c>
      <c r="F87" s="148"/>
      <c r="G87" s="132">
        <f>G88+G91+G97+G94</f>
        <v>4135.5</v>
      </c>
      <c r="H87" s="132">
        <f>H88+H91+H97+H94</f>
        <v>5870.8</v>
      </c>
      <c r="I87" s="132">
        <f>I88+I91+I97+I94</f>
        <v>5870.7871100000002</v>
      </c>
      <c r="J87" s="132">
        <f>J88+J91+J97+J94</f>
        <v>5129.7941700000001</v>
      </c>
      <c r="K87" s="128">
        <f t="shared" si="31"/>
        <v>-1.2889999999970314E-2</v>
      </c>
      <c r="L87" s="128">
        <f t="shared" si="32"/>
        <v>99.999780438781769</v>
      </c>
      <c r="M87" s="128">
        <f t="shared" si="33"/>
        <v>-740.99294000000009</v>
      </c>
      <c r="N87" s="128">
        <f t="shared" si="34"/>
        <v>87.378303349855244</v>
      </c>
      <c r="O87" s="128">
        <f t="shared" si="35"/>
        <v>124.04290097932535</v>
      </c>
      <c r="P87" s="128">
        <f t="shared" si="36"/>
        <v>87.378111500987941</v>
      </c>
      <c r="Q87" s="128">
        <f t="shared" si="37"/>
        <v>1735.3000000000002</v>
      </c>
      <c r="R87" s="128">
        <f t="shared" si="38"/>
        <v>141.96106879458347</v>
      </c>
      <c r="S87" s="128">
        <f t="shared" si="39"/>
        <v>4.8424776891479295</v>
      </c>
    </row>
    <row r="88" spans="1:19" ht="57" customHeight="1">
      <c r="A88" s="149" t="s">
        <v>464</v>
      </c>
      <c r="B88" s="127" t="s">
        <v>332</v>
      </c>
      <c r="C88" s="127" t="s">
        <v>351</v>
      </c>
      <c r="D88" s="127" t="s">
        <v>465</v>
      </c>
      <c r="E88" s="127"/>
      <c r="F88" s="127"/>
      <c r="G88" s="128">
        <f t="shared" ref="G88:J89" si="41">SUM(G89)</f>
        <v>68.599999999999994</v>
      </c>
      <c r="H88" s="128">
        <f>SUM(H89)</f>
        <v>68.599999999999994</v>
      </c>
      <c r="I88" s="128">
        <f t="shared" si="41"/>
        <v>68.599999999999994</v>
      </c>
      <c r="J88" s="128">
        <f t="shared" si="41"/>
        <v>68.599999999999994</v>
      </c>
      <c r="K88" s="128">
        <f t="shared" si="31"/>
        <v>0</v>
      </c>
      <c r="L88" s="128">
        <f t="shared" si="32"/>
        <v>100</v>
      </c>
      <c r="M88" s="128">
        <f t="shared" si="33"/>
        <v>0</v>
      </c>
      <c r="N88" s="128">
        <f t="shared" si="34"/>
        <v>100</v>
      </c>
      <c r="O88" s="128">
        <f t="shared" si="35"/>
        <v>100</v>
      </c>
      <c r="P88" s="128">
        <f t="shared" si="36"/>
        <v>100</v>
      </c>
      <c r="Q88" s="128">
        <f t="shared" si="37"/>
        <v>0</v>
      </c>
      <c r="R88" s="128">
        <f t="shared" si="38"/>
        <v>100</v>
      </c>
      <c r="S88" s="128">
        <f t="shared" si="39"/>
        <v>6.4757758004849536E-2</v>
      </c>
    </row>
    <row r="89" spans="1:19" ht="25.5" customHeight="1">
      <c r="A89" s="126" t="s">
        <v>456</v>
      </c>
      <c r="B89" s="127" t="s">
        <v>332</v>
      </c>
      <c r="C89" s="127" t="s">
        <v>351</v>
      </c>
      <c r="D89" s="127" t="s">
        <v>465</v>
      </c>
      <c r="E89" s="127" t="s">
        <v>457</v>
      </c>
      <c r="F89" s="127"/>
      <c r="G89" s="128">
        <f t="shared" si="41"/>
        <v>68.599999999999994</v>
      </c>
      <c r="H89" s="128">
        <f>SUM(H90)</f>
        <v>68.599999999999994</v>
      </c>
      <c r="I89" s="128">
        <f t="shared" si="41"/>
        <v>68.599999999999994</v>
      </c>
      <c r="J89" s="128">
        <f t="shared" si="41"/>
        <v>68.599999999999994</v>
      </c>
      <c r="K89" s="128">
        <f t="shared" si="31"/>
        <v>0</v>
      </c>
      <c r="L89" s="128">
        <f t="shared" si="32"/>
        <v>100</v>
      </c>
      <c r="M89" s="128">
        <f t="shared" si="33"/>
        <v>0</v>
      </c>
      <c r="N89" s="128">
        <f t="shared" si="34"/>
        <v>100</v>
      </c>
      <c r="O89" s="128">
        <f t="shared" si="35"/>
        <v>100</v>
      </c>
      <c r="P89" s="128">
        <f t="shared" si="36"/>
        <v>100</v>
      </c>
      <c r="Q89" s="128">
        <f t="shared" si="37"/>
        <v>0</v>
      </c>
      <c r="R89" s="128">
        <f t="shared" si="38"/>
        <v>100</v>
      </c>
      <c r="S89" s="128">
        <f t="shared" si="39"/>
        <v>6.4757758004849536E-2</v>
      </c>
    </row>
    <row r="90" spans="1:19" ht="22.15" customHeight="1">
      <c r="A90" s="126" t="s">
        <v>461</v>
      </c>
      <c r="B90" s="127" t="s">
        <v>332</v>
      </c>
      <c r="C90" s="127" t="s">
        <v>351</v>
      </c>
      <c r="D90" s="127" t="s">
        <v>465</v>
      </c>
      <c r="E90" s="127" t="s">
        <v>479</v>
      </c>
      <c r="F90" s="127" t="s">
        <v>480</v>
      </c>
      <c r="G90" s="132">
        <v>68.599999999999994</v>
      </c>
      <c r="H90" s="132">
        <v>68.599999999999994</v>
      </c>
      <c r="I90" s="132">
        <v>68.599999999999994</v>
      </c>
      <c r="J90" s="132">
        <v>68.599999999999994</v>
      </c>
      <c r="K90" s="128">
        <f t="shared" si="31"/>
        <v>0</v>
      </c>
      <c r="L90" s="128">
        <f t="shared" si="32"/>
        <v>100</v>
      </c>
      <c r="M90" s="128">
        <f t="shared" si="33"/>
        <v>0</v>
      </c>
      <c r="N90" s="128">
        <f t="shared" si="34"/>
        <v>100</v>
      </c>
      <c r="O90" s="128">
        <f t="shared" si="35"/>
        <v>100</v>
      </c>
      <c r="P90" s="128">
        <f t="shared" si="36"/>
        <v>100</v>
      </c>
      <c r="Q90" s="128">
        <f t="shared" si="37"/>
        <v>0</v>
      </c>
      <c r="R90" s="128">
        <f t="shared" si="38"/>
        <v>100</v>
      </c>
      <c r="S90" s="128">
        <f t="shared" si="39"/>
        <v>6.4757758004849536E-2</v>
      </c>
    </row>
    <row r="91" spans="1:19" ht="42.75" customHeight="1">
      <c r="A91" s="150" t="s">
        <v>481</v>
      </c>
      <c r="B91" s="127" t="s">
        <v>332</v>
      </c>
      <c r="C91" s="127" t="s">
        <v>351</v>
      </c>
      <c r="D91" s="151">
        <v>4010089181</v>
      </c>
      <c r="E91" s="127"/>
      <c r="F91" s="127"/>
      <c r="G91" s="132">
        <f>G92</f>
        <v>418</v>
      </c>
      <c r="H91" s="132">
        <f>H92</f>
        <v>418</v>
      </c>
      <c r="I91" s="132">
        <f>I92</f>
        <v>418</v>
      </c>
      <c r="J91" s="132">
        <f>J92</f>
        <v>418</v>
      </c>
      <c r="K91" s="128">
        <f t="shared" si="31"/>
        <v>0</v>
      </c>
      <c r="L91" s="128">
        <f t="shared" si="32"/>
        <v>100</v>
      </c>
      <c r="M91" s="128">
        <f t="shared" si="33"/>
        <v>0</v>
      </c>
      <c r="N91" s="128">
        <f t="shared" si="34"/>
        <v>100</v>
      </c>
      <c r="O91" s="128">
        <f t="shared" si="35"/>
        <v>100</v>
      </c>
      <c r="P91" s="128">
        <f t="shared" si="36"/>
        <v>100</v>
      </c>
      <c r="Q91" s="128">
        <f t="shared" si="37"/>
        <v>0</v>
      </c>
      <c r="R91" s="128">
        <f t="shared" si="38"/>
        <v>100</v>
      </c>
      <c r="S91" s="128">
        <f t="shared" si="39"/>
        <v>0.39458808813450591</v>
      </c>
    </row>
    <row r="92" spans="1:19" ht="44.25" customHeight="1">
      <c r="A92" s="126" t="s">
        <v>431</v>
      </c>
      <c r="B92" s="127" t="s">
        <v>332</v>
      </c>
      <c r="C92" s="127" t="s">
        <v>351</v>
      </c>
      <c r="D92" s="151">
        <v>4010089181</v>
      </c>
      <c r="E92" s="152" t="s">
        <v>432</v>
      </c>
      <c r="F92" s="152"/>
      <c r="G92" s="132">
        <f>SUM(G93)</f>
        <v>418</v>
      </c>
      <c r="H92" s="132">
        <f>SUM(H93)</f>
        <v>418</v>
      </c>
      <c r="I92" s="132">
        <f>SUM(I93)</f>
        <v>418</v>
      </c>
      <c r="J92" s="132">
        <f>SUM(J93)</f>
        <v>418</v>
      </c>
      <c r="K92" s="128">
        <f t="shared" si="31"/>
        <v>0</v>
      </c>
      <c r="L92" s="128">
        <f t="shared" si="32"/>
        <v>100</v>
      </c>
      <c r="M92" s="128">
        <f t="shared" si="33"/>
        <v>0</v>
      </c>
      <c r="N92" s="128">
        <f t="shared" si="34"/>
        <v>100</v>
      </c>
      <c r="O92" s="128">
        <f t="shared" si="35"/>
        <v>100</v>
      </c>
      <c r="P92" s="128">
        <f t="shared" si="36"/>
        <v>100</v>
      </c>
      <c r="Q92" s="128">
        <f t="shared" si="37"/>
        <v>0</v>
      </c>
      <c r="R92" s="128">
        <f t="shared" si="38"/>
        <v>100</v>
      </c>
      <c r="S92" s="128">
        <f t="shared" si="39"/>
        <v>0.39458808813450591</v>
      </c>
    </row>
    <row r="93" spans="1:19" ht="43.15" customHeight="1">
      <c r="A93" s="126" t="s">
        <v>433</v>
      </c>
      <c r="B93" s="127" t="s">
        <v>332</v>
      </c>
      <c r="C93" s="127" t="s">
        <v>351</v>
      </c>
      <c r="D93" s="151">
        <v>4010089181</v>
      </c>
      <c r="E93" s="152">
        <v>244</v>
      </c>
      <c r="F93" s="152">
        <v>226</v>
      </c>
      <c r="G93" s="132">
        <v>418</v>
      </c>
      <c r="H93" s="132">
        <v>418</v>
      </c>
      <c r="I93" s="132">
        <v>418</v>
      </c>
      <c r="J93" s="132">
        <v>418</v>
      </c>
      <c r="K93" s="128">
        <f t="shared" si="31"/>
        <v>0</v>
      </c>
      <c r="L93" s="128">
        <f t="shared" si="32"/>
        <v>100</v>
      </c>
      <c r="M93" s="128">
        <f t="shared" si="33"/>
        <v>0</v>
      </c>
      <c r="N93" s="128">
        <f t="shared" si="34"/>
        <v>100</v>
      </c>
      <c r="O93" s="128">
        <f t="shared" si="35"/>
        <v>100</v>
      </c>
      <c r="P93" s="128">
        <f t="shared" si="36"/>
        <v>100</v>
      </c>
      <c r="Q93" s="128">
        <f t="shared" si="37"/>
        <v>0</v>
      </c>
      <c r="R93" s="128">
        <f t="shared" si="38"/>
        <v>100</v>
      </c>
      <c r="S93" s="128">
        <f t="shared" si="39"/>
        <v>0.39458808813450591</v>
      </c>
    </row>
    <row r="94" spans="1:19" ht="75" customHeight="1">
      <c r="A94" s="131" t="s">
        <v>482</v>
      </c>
      <c r="B94" s="153" t="s">
        <v>332</v>
      </c>
      <c r="C94" s="153" t="s">
        <v>351</v>
      </c>
      <c r="D94" s="154">
        <v>4010089213</v>
      </c>
      <c r="E94" s="127"/>
      <c r="F94" s="127"/>
      <c r="G94" s="132">
        <f>G95</f>
        <v>0</v>
      </c>
      <c r="H94" s="132">
        <f>H95</f>
        <v>112.5</v>
      </c>
      <c r="I94" s="132">
        <f>I95</f>
        <v>112.5</v>
      </c>
      <c r="J94" s="132">
        <f>J95</f>
        <v>112.5</v>
      </c>
      <c r="K94" s="128">
        <f t="shared" si="31"/>
        <v>0</v>
      </c>
      <c r="L94" s="128">
        <f t="shared" si="32"/>
        <v>100</v>
      </c>
      <c r="M94" s="128">
        <f t="shared" si="33"/>
        <v>0</v>
      </c>
      <c r="N94" s="128">
        <f t="shared" si="34"/>
        <v>100</v>
      </c>
      <c r="O94" s="128"/>
      <c r="P94" s="128">
        <f t="shared" si="36"/>
        <v>100</v>
      </c>
      <c r="Q94" s="128">
        <f t="shared" si="37"/>
        <v>112.5</v>
      </c>
      <c r="R94" s="128"/>
      <c r="S94" s="128">
        <f t="shared" si="39"/>
        <v>0.10619894716538737</v>
      </c>
    </row>
    <row r="95" spans="1:19" ht="43.15" customHeight="1">
      <c r="A95" s="126" t="s">
        <v>431</v>
      </c>
      <c r="B95" s="153" t="s">
        <v>332</v>
      </c>
      <c r="C95" s="153" t="s">
        <v>351</v>
      </c>
      <c r="D95" s="154">
        <v>4010089213</v>
      </c>
      <c r="E95" s="155" t="s">
        <v>432</v>
      </c>
      <c r="F95" s="155"/>
      <c r="G95" s="132">
        <f>SUM(G96)</f>
        <v>0</v>
      </c>
      <c r="H95" s="132">
        <f>SUM(H96)</f>
        <v>112.5</v>
      </c>
      <c r="I95" s="132">
        <f>SUM(I96)</f>
        <v>112.5</v>
      </c>
      <c r="J95" s="132">
        <f>SUM(J96)</f>
        <v>112.5</v>
      </c>
      <c r="K95" s="128">
        <f t="shared" si="31"/>
        <v>0</v>
      </c>
      <c r="L95" s="128">
        <f t="shared" si="32"/>
        <v>100</v>
      </c>
      <c r="M95" s="128">
        <f t="shared" si="33"/>
        <v>0</v>
      </c>
      <c r="N95" s="128">
        <f t="shared" si="34"/>
        <v>100</v>
      </c>
      <c r="O95" s="128"/>
      <c r="P95" s="128">
        <f t="shared" si="36"/>
        <v>100</v>
      </c>
      <c r="Q95" s="128">
        <f t="shared" si="37"/>
        <v>112.5</v>
      </c>
      <c r="R95" s="128"/>
      <c r="S95" s="128">
        <f t="shared" si="39"/>
        <v>0.10619894716538737</v>
      </c>
    </row>
    <row r="96" spans="1:19" ht="43.15" customHeight="1">
      <c r="A96" s="126" t="s">
        <v>433</v>
      </c>
      <c r="B96" s="153" t="s">
        <v>332</v>
      </c>
      <c r="C96" s="153" t="s">
        <v>351</v>
      </c>
      <c r="D96" s="154">
        <v>4010089213</v>
      </c>
      <c r="E96" s="155">
        <v>244</v>
      </c>
      <c r="F96" s="155">
        <v>226</v>
      </c>
      <c r="G96" s="132"/>
      <c r="H96" s="132">
        <v>112.5</v>
      </c>
      <c r="I96" s="132">
        <v>112.5</v>
      </c>
      <c r="J96" s="132">
        <v>112.5</v>
      </c>
      <c r="K96" s="128">
        <f t="shared" si="31"/>
        <v>0</v>
      </c>
      <c r="L96" s="128">
        <f t="shared" si="32"/>
        <v>100</v>
      </c>
      <c r="M96" s="128">
        <f t="shared" si="33"/>
        <v>0</v>
      </c>
      <c r="N96" s="128">
        <f t="shared" si="34"/>
        <v>100</v>
      </c>
      <c r="O96" s="128"/>
      <c r="P96" s="128">
        <f t="shared" si="36"/>
        <v>100</v>
      </c>
      <c r="Q96" s="128">
        <f t="shared" si="37"/>
        <v>112.5</v>
      </c>
      <c r="R96" s="128"/>
      <c r="S96" s="128">
        <f t="shared" si="39"/>
        <v>0.10619894716538737</v>
      </c>
    </row>
    <row r="97" spans="1:19" ht="18" customHeight="1">
      <c r="A97" s="126" t="s">
        <v>483</v>
      </c>
      <c r="B97" s="156">
        <v>1</v>
      </c>
      <c r="C97" s="157">
        <v>13</v>
      </c>
      <c r="D97" s="142">
        <v>4010099990</v>
      </c>
      <c r="E97" s="143"/>
      <c r="F97" s="143"/>
      <c r="G97" s="132">
        <f>SUM(G98)+G107+G109</f>
        <v>3648.9</v>
      </c>
      <c r="H97" s="132">
        <f>SUM(H98)+H107+H109</f>
        <v>5271.7</v>
      </c>
      <c r="I97" s="132">
        <f>SUM(I98)+I107+I109</f>
        <v>5271.6871099999998</v>
      </c>
      <c r="J97" s="132">
        <f>SUM(J98)+J107+J109</f>
        <v>4530.6941699999998</v>
      </c>
      <c r="K97" s="128">
        <f t="shared" si="31"/>
        <v>-1.2889999999970314E-2</v>
      </c>
      <c r="L97" s="128">
        <f t="shared" si="32"/>
        <v>99.999755486844862</v>
      </c>
      <c r="M97" s="128">
        <f t="shared" si="33"/>
        <v>-740.99294000000009</v>
      </c>
      <c r="N97" s="128">
        <f t="shared" si="34"/>
        <v>85.943912744851801</v>
      </c>
      <c r="O97" s="128">
        <f t="shared" si="35"/>
        <v>124.16602729589738</v>
      </c>
      <c r="P97" s="128">
        <f t="shared" si="36"/>
        <v>85.943702600679089</v>
      </c>
      <c r="Q97" s="128">
        <f t="shared" si="37"/>
        <v>1622.7999999999997</v>
      </c>
      <c r="R97" s="128">
        <f t="shared" si="38"/>
        <v>144.47367699854749</v>
      </c>
      <c r="S97" s="128">
        <f t="shared" si="39"/>
        <v>4.2769328958431867</v>
      </c>
    </row>
    <row r="98" spans="1:19" ht="47.25" customHeight="1">
      <c r="A98" s="126" t="s">
        <v>431</v>
      </c>
      <c r="B98" s="156">
        <v>1</v>
      </c>
      <c r="C98" s="157">
        <v>13</v>
      </c>
      <c r="D98" s="142">
        <v>4010099990</v>
      </c>
      <c r="E98" s="143">
        <v>200</v>
      </c>
      <c r="F98" s="143"/>
      <c r="G98" s="132">
        <f>G99</f>
        <v>2402.5</v>
      </c>
      <c r="H98" s="132">
        <f>H99</f>
        <v>5234.2</v>
      </c>
      <c r="I98" s="132">
        <f>I99</f>
        <v>5234.1871099999998</v>
      </c>
      <c r="J98" s="132">
        <f>J99</f>
        <v>4493.1941699999998</v>
      </c>
      <c r="K98" s="128">
        <f t="shared" si="31"/>
        <v>-1.2889999999970314E-2</v>
      </c>
      <c r="L98" s="128">
        <f t="shared" si="32"/>
        <v>99.999753735050248</v>
      </c>
      <c r="M98" s="128">
        <f t="shared" si="33"/>
        <v>-740.99294000000009</v>
      </c>
      <c r="N98" s="128">
        <f t="shared" si="34"/>
        <v>85.843208803439197</v>
      </c>
      <c r="O98" s="128">
        <f t="shared" si="35"/>
        <v>187.02160957336108</v>
      </c>
      <c r="P98" s="128">
        <f t="shared" si="36"/>
        <v>85.842997401704181</v>
      </c>
      <c r="Q98" s="128">
        <f t="shared" si="37"/>
        <v>2831.7</v>
      </c>
      <c r="R98" s="128">
        <f t="shared" si="38"/>
        <v>217.86472424557752</v>
      </c>
      <c r="S98" s="128">
        <f t="shared" si="39"/>
        <v>4.2415332467880571</v>
      </c>
    </row>
    <row r="99" spans="1:19" ht="51.75" customHeight="1">
      <c r="A99" s="126" t="s">
        <v>433</v>
      </c>
      <c r="B99" s="156">
        <v>1</v>
      </c>
      <c r="C99" s="157">
        <v>13</v>
      </c>
      <c r="D99" s="142">
        <v>4010099990</v>
      </c>
      <c r="E99" s="143">
        <v>240</v>
      </c>
      <c r="F99" s="143"/>
      <c r="G99" s="128">
        <v>2402.5</v>
      </c>
      <c r="H99" s="128">
        <v>5234.2</v>
      </c>
      <c r="I99" s="128">
        <f>I101+I102+I103+I104+I105+I106+I100</f>
        <v>5234.1871099999998</v>
      </c>
      <c r="J99" s="128">
        <f>J101+J102+J103+J104+J105+J106+J100</f>
        <v>4493.1941699999998</v>
      </c>
      <c r="K99" s="128">
        <f t="shared" si="31"/>
        <v>-1.2889999999970314E-2</v>
      </c>
      <c r="L99" s="128">
        <f t="shared" si="32"/>
        <v>99.999753735050248</v>
      </c>
      <c r="M99" s="128">
        <f>J99-I99</f>
        <v>-740.99294000000009</v>
      </c>
      <c r="N99" s="128">
        <f t="shared" si="34"/>
        <v>85.843208803439197</v>
      </c>
      <c r="O99" s="128">
        <f>J99/G99*100</f>
        <v>187.02160957336108</v>
      </c>
      <c r="P99" s="128">
        <f t="shared" si="36"/>
        <v>85.842997401704181</v>
      </c>
      <c r="Q99" s="128">
        <f t="shared" si="37"/>
        <v>2831.7</v>
      </c>
      <c r="R99" s="128">
        <f t="shared" si="38"/>
        <v>217.86472424557752</v>
      </c>
      <c r="S99" s="128">
        <f t="shared" si="39"/>
        <v>4.2415332467880571</v>
      </c>
    </row>
    <row r="100" spans="1:19" ht="20.25" customHeight="1">
      <c r="A100" s="126"/>
      <c r="B100" s="156">
        <v>1</v>
      </c>
      <c r="C100" s="157">
        <v>13</v>
      </c>
      <c r="D100" s="142">
        <v>4010099990</v>
      </c>
      <c r="E100" s="143">
        <v>243</v>
      </c>
      <c r="F100" s="143">
        <v>225</v>
      </c>
      <c r="G100" s="128"/>
      <c r="H100" s="128"/>
      <c r="I100" s="128">
        <v>546.03200000000004</v>
      </c>
      <c r="J100" s="128">
        <v>546.03200000000004</v>
      </c>
      <c r="K100" s="128"/>
      <c r="L100" s="128"/>
      <c r="M100" s="128"/>
      <c r="N100" s="128"/>
      <c r="O100" s="128"/>
      <c r="P100" s="128"/>
      <c r="Q100" s="128"/>
      <c r="R100" s="128"/>
      <c r="S100" s="128"/>
    </row>
    <row r="101" spans="1:19" ht="21" customHeight="1">
      <c r="A101" s="126"/>
      <c r="B101" s="156">
        <v>1</v>
      </c>
      <c r="C101" s="157">
        <v>13</v>
      </c>
      <c r="D101" s="142">
        <v>4010099990</v>
      </c>
      <c r="E101" s="143">
        <v>244</v>
      </c>
      <c r="F101" s="143">
        <v>223</v>
      </c>
      <c r="G101" s="128"/>
      <c r="H101" s="128"/>
      <c r="I101" s="128">
        <v>230.6</v>
      </c>
      <c r="J101" s="128">
        <v>205.483</v>
      </c>
      <c r="K101" s="128"/>
      <c r="L101" s="128"/>
      <c r="M101" s="128">
        <f t="shared" ref="M101:M106" si="42">J101-I101</f>
        <v>-25.11699999999999</v>
      </c>
      <c r="N101" s="128"/>
      <c r="O101" s="128"/>
      <c r="P101" s="128"/>
      <c r="Q101" s="128"/>
      <c r="R101" s="128"/>
      <c r="S101" s="128"/>
    </row>
    <row r="102" spans="1:19" ht="20.25" customHeight="1">
      <c r="A102" s="126"/>
      <c r="B102" s="156">
        <v>1</v>
      </c>
      <c r="C102" s="157">
        <v>13</v>
      </c>
      <c r="D102" s="142">
        <v>4010099990</v>
      </c>
      <c r="E102" s="143">
        <v>244</v>
      </c>
      <c r="F102" s="143">
        <v>225</v>
      </c>
      <c r="G102" s="128"/>
      <c r="H102" s="128"/>
      <c r="I102" s="128">
        <v>749.27450999999996</v>
      </c>
      <c r="J102" s="128">
        <v>596.04362000000003</v>
      </c>
      <c r="K102" s="128"/>
      <c r="L102" s="128"/>
      <c r="M102" s="128">
        <f t="shared" si="42"/>
        <v>-153.23088999999993</v>
      </c>
      <c r="N102" s="128"/>
      <c r="O102" s="128"/>
      <c r="P102" s="128"/>
      <c r="Q102" s="128"/>
      <c r="R102" s="128"/>
      <c r="S102" s="128"/>
    </row>
    <row r="103" spans="1:19" ht="23.25" customHeight="1">
      <c r="A103" s="126"/>
      <c r="B103" s="156">
        <v>1</v>
      </c>
      <c r="C103" s="157">
        <v>13</v>
      </c>
      <c r="D103" s="142">
        <v>4010099990</v>
      </c>
      <c r="E103" s="143">
        <v>244</v>
      </c>
      <c r="F103" s="143">
        <v>226</v>
      </c>
      <c r="G103" s="128"/>
      <c r="H103" s="128"/>
      <c r="I103" s="128">
        <v>478.53</v>
      </c>
      <c r="J103" s="128">
        <v>478.53</v>
      </c>
      <c r="K103" s="128"/>
      <c r="L103" s="128"/>
      <c r="M103" s="128">
        <f t="shared" si="42"/>
        <v>0</v>
      </c>
      <c r="N103" s="128"/>
      <c r="O103" s="128"/>
      <c r="P103" s="128"/>
      <c r="Q103" s="128"/>
      <c r="R103" s="128"/>
      <c r="S103" s="128"/>
    </row>
    <row r="104" spans="1:19" ht="18" customHeight="1">
      <c r="A104" s="126"/>
      <c r="B104" s="156">
        <v>1</v>
      </c>
      <c r="C104" s="157">
        <v>13</v>
      </c>
      <c r="D104" s="142">
        <v>4010099990</v>
      </c>
      <c r="E104" s="143">
        <v>244</v>
      </c>
      <c r="F104" s="143">
        <v>346</v>
      </c>
      <c r="G104" s="128"/>
      <c r="H104" s="128"/>
      <c r="I104" s="128">
        <v>64.84</v>
      </c>
      <c r="J104" s="128">
        <v>64.84</v>
      </c>
      <c r="K104" s="128"/>
      <c r="L104" s="128"/>
      <c r="M104" s="128">
        <f t="shared" si="42"/>
        <v>0</v>
      </c>
      <c r="N104" s="128"/>
      <c r="O104" s="128"/>
      <c r="P104" s="128"/>
      <c r="Q104" s="128"/>
      <c r="R104" s="128"/>
      <c r="S104" s="128"/>
    </row>
    <row r="105" spans="1:19" ht="19.5" customHeight="1">
      <c r="A105" s="126"/>
      <c r="B105" s="156">
        <v>1</v>
      </c>
      <c r="C105" s="157">
        <v>13</v>
      </c>
      <c r="D105" s="142">
        <v>4010099990</v>
      </c>
      <c r="E105" s="143">
        <v>244</v>
      </c>
      <c r="F105" s="143">
        <v>349</v>
      </c>
      <c r="G105" s="128"/>
      <c r="H105" s="128"/>
      <c r="I105" s="128">
        <v>3.15</v>
      </c>
      <c r="J105" s="128">
        <v>3.15</v>
      </c>
      <c r="K105" s="128"/>
      <c r="L105" s="128"/>
      <c r="M105" s="128">
        <f t="shared" si="42"/>
        <v>0</v>
      </c>
      <c r="N105" s="128"/>
      <c r="O105" s="128"/>
      <c r="P105" s="128"/>
      <c r="Q105" s="128"/>
      <c r="R105" s="128"/>
      <c r="S105" s="128"/>
    </row>
    <row r="106" spans="1:19" ht="18" customHeight="1">
      <c r="A106" s="126"/>
      <c r="B106" s="156">
        <v>1</v>
      </c>
      <c r="C106" s="157">
        <v>13</v>
      </c>
      <c r="D106" s="142">
        <v>4010099990</v>
      </c>
      <c r="E106" s="143">
        <v>247</v>
      </c>
      <c r="F106" s="143">
        <v>223</v>
      </c>
      <c r="G106" s="128"/>
      <c r="H106" s="128"/>
      <c r="I106" s="128">
        <v>3161.7606000000001</v>
      </c>
      <c r="J106" s="128">
        <v>2599.11555</v>
      </c>
      <c r="K106" s="128"/>
      <c r="L106" s="128"/>
      <c r="M106" s="128">
        <f t="shared" si="42"/>
        <v>-562.64505000000008</v>
      </c>
      <c r="N106" s="128"/>
      <c r="O106" s="128"/>
      <c r="P106" s="128"/>
      <c r="Q106" s="128"/>
      <c r="R106" s="128"/>
      <c r="S106" s="128"/>
    </row>
    <row r="107" spans="1:19" ht="33.75" customHeight="1">
      <c r="A107" s="126" t="s">
        <v>484</v>
      </c>
      <c r="B107" s="156">
        <v>1</v>
      </c>
      <c r="C107" s="157">
        <v>13</v>
      </c>
      <c r="D107" s="142">
        <v>4010099990</v>
      </c>
      <c r="E107" s="127" t="s">
        <v>441</v>
      </c>
      <c r="F107" s="127"/>
      <c r="G107" s="128">
        <f>G108</f>
        <v>31.4</v>
      </c>
      <c r="H107" s="128">
        <f>H108</f>
        <v>21</v>
      </c>
      <c r="I107" s="128">
        <f>I108</f>
        <v>21</v>
      </c>
      <c r="J107" s="128">
        <f>J108</f>
        <v>21</v>
      </c>
      <c r="K107" s="128">
        <f t="shared" si="31"/>
        <v>0</v>
      </c>
      <c r="L107" s="128">
        <f t="shared" si="32"/>
        <v>100</v>
      </c>
      <c r="M107" s="128">
        <f t="shared" si="33"/>
        <v>0</v>
      </c>
      <c r="N107" s="128">
        <f t="shared" si="34"/>
        <v>100</v>
      </c>
      <c r="O107" s="128">
        <f t="shared" si="35"/>
        <v>66.878980891719749</v>
      </c>
      <c r="P107" s="128">
        <f t="shared" si="36"/>
        <v>100</v>
      </c>
      <c r="Q107" s="128">
        <f t="shared" si="37"/>
        <v>-10.399999999999999</v>
      </c>
      <c r="R107" s="128">
        <f t="shared" si="38"/>
        <v>66.878980891719749</v>
      </c>
      <c r="S107" s="128">
        <f>J107/$J$386*100</f>
        <v>1.9823803470872307E-2</v>
      </c>
    </row>
    <row r="108" spans="1:19" ht="26.25" customHeight="1">
      <c r="A108" s="126" t="s">
        <v>485</v>
      </c>
      <c r="B108" s="156">
        <v>1</v>
      </c>
      <c r="C108" s="157">
        <v>13</v>
      </c>
      <c r="D108" s="142">
        <v>4010099990</v>
      </c>
      <c r="E108" s="127" t="s">
        <v>486</v>
      </c>
      <c r="F108" s="127" t="s">
        <v>460</v>
      </c>
      <c r="G108" s="132">
        <v>31.4</v>
      </c>
      <c r="H108" s="132">
        <v>21</v>
      </c>
      <c r="I108" s="132">
        <v>21</v>
      </c>
      <c r="J108" s="132">
        <v>21</v>
      </c>
      <c r="K108" s="128">
        <f t="shared" si="31"/>
        <v>0</v>
      </c>
      <c r="L108" s="128">
        <f t="shared" si="32"/>
        <v>100</v>
      </c>
      <c r="M108" s="128">
        <f t="shared" si="33"/>
        <v>0</v>
      </c>
      <c r="N108" s="128">
        <f t="shared" si="34"/>
        <v>100</v>
      </c>
      <c r="O108" s="128">
        <f t="shared" si="35"/>
        <v>66.878980891719749</v>
      </c>
      <c r="P108" s="128">
        <f t="shared" si="36"/>
        <v>100</v>
      </c>
      <c r="Q108" s="128">
        <f t="shared" si="37"/>
        <v>-10.399999999999999</v>
      </c>
      <c r="R108" s="128">
        <f t="shared" si="38"/>
        <v>66.878980891719749</v>
      </c>
      <c r="S108" s="128">
        <f>J108/$J$386*100</f>
        <v>1.9823803470872307E-2</v>
      </c>
    </row>
    <row r="109" spans="1:19" ht="24" customHeight="1">
      <c r="A109" s="126" t="s">
        <v>456</v>
      </c>
      <c r="B109" s="158">
        <v>1</v>
      </c>
      <c r="C109" s="159">
        <v>13</v>
      </c>
      <c r="D109" s="160">
        <v>4010099990</v>
      </c>
      <c r="E109" s="127" t="s">
        <v>457</v>
      </c>
      <c r="F109" s="127"/>
      <c r="G109" s="132">
        <f>SUM(G111)+G110</f>
        <v>1215</v>
      </c>
      <c r="H109" s="132">
        <f>SUM(H111)</f>
        <v>16.5</v>
      </c>
      <c r="I109" s="132">
        <f>SUM(I111)</f>
        <v>16.5</v>
      </c>
      <c r="J109" s="132">
        <f>SUM(J111)</f>
        <v>16.5</v>
      </c>
      <c r="K109" s="128">
        <f t="shared" si="31"/>
        <v>0</v>
      </c>
      <c r="L109" s="128">
        <f t="shared" si="32"/>
        <v>100</v>
      </c>
      <c r="M109" s="128">
        <f t="shared" si="33"/>
        <v>0</v>
      </c>
      <c r="N109" s="128">
        <f t="shared" si="34"/>
        <v>100</v>
      </c>
      <c r="O109" s="128">
        <f t="shared" si="35"/>
        <v>1.3580246913580247</v>
      </c>
      <c r="P109" s="128">
        <f t="shared" si="36"/>
        <v>100</v>
      </c>
      <c r="Q109" s="128">
        <f t="shared" si="37"/>
        <v>-1198.5</v>
      </c>
      <c r="R109" s="128">
        <f t="shared" si="38"/>
        <v>1.3580246913580247</v>
      </c>
      <c r="S109" s="128">
        <f>J109/$J$386*100</f>
        <v>1.5575845584256813E-2</v>
      </c>
    </row>
    <row r="110" spans="1:19" ht="24" customHeight="1">
      <c r="A110" s="126"/>
      <c r="B110" s="158">
        <v>1</v>
      </c>
      <c r="C110" s="159">
        <v>13</v>
      </c>
      <c r="D110" s="160">
        <v>4010099990</v>
      </c>
      <c r="E110" s="127" t="s">
        <v>487</v>
      </c>
      <c r="F110" s="127"/>
      <c r="G110" s="132">
        <v>1200</v>
      </c>
      <c r="H110" s="132"/>
      <c r="I110" s="132"/>
      <c r="J110" s="132"/>
      <c r="K110" s="128"/>
      <c r="L110" s="128"/>
      <c r="M110" s="128"/>
      <c r="N110" s="128"/>
      <c r="O110" s="128"/>
      <c r="P110" s="128"/>
      <c r="Q110" s="128"/>
      <c r="R110" s="128"/>
      <c r="S110" s="128"/>
    </row>
    <row r="111" spans="1:19" ht="26.25" customHeight="1">
      <c r="A111" s="126" t="s">
        <v>461</v>
      </c>
      <c r="B111" s="158">
        <v>1</v>
      </c>
      <c r="C111" s="159">
        <v>13</v>
      </c>
      <c r="D111" s="160">
        <v>4010099990</v>
      </c>
      <c r="E111" s="127" t="s">
        <v>462</v>
      </c>
      <c r="F111" s="127" t="s">
        <v>488</v>
      </c>
      <c r="G111" s="132">
        <v>15</v>
      </c>
      <c r="H111" s="132">
        <v>16.5</v>
      </c>
      <c r="I111" s="132">
        <v>16.5</v>
      </c>
      <c r="J111" s="132">
        <v>16.5</v>
      </c>
      <c r="K111" s="128">
        <f t="shared" si="31"/>
        <v>0</v>
      </c>
      <c r="L111" s="128">
        <f t="shared" si="32"/>
        <v>100</v>
      </c>
      <c r="M111" s="128">
        <f t="shared" si="33"/>
        <v>0</v>
      </c>
      <c r="N111" s="128">
        <f t="shared" si="34"/>
        <v>100</v>
      </c>
      <c r="O111" s="128">
        <f t="shared" si="35"/>
        <v>110.00000000000001</v>
      </c>
      <c r="P111" s="128">
        <f t="shared" si="36"/>
        <v>100</v>
      </c>
      <c r="Q111" s="128">
        <f t="shared" si="37"/>
        <v>1.5</v>
      </c>
      <c r="R111" s="128">
        <f t="shared" si="38"/>
        <v>110.00000000000001</v>
      </c>
      <c r="S111" s="128">
        <f>J111/$J$386*100</f>
        <v>1.5575845584256813E-2</v>
      </c>
    </row>
    <row r="112" spans="1:19" ht="41.45" customHeight="1">
      <c r="A112" s="126" t="s">
        <v>489</v>
      </c>
      <c r="B112" s="140">
        <v>1</v>
      </c>
      <c r="C112" s="141">
        <v>13</v>
      </c>
      <c r="D112" s="142">
        <v>4070000000</v>
      </c>
      <c r="E112" s="143"/>
      <c r="F112" s="143"/>
      <c r="G112" s="128">
        <f>G113</f>
        <v>20</v>
      </c>
      <c r="H112" s="128">
        <f>H113</f>
        <v>20</v>
      </c>
      <c r="I112" s="128">
        <f>I113</f>
        <v>20.000999999999998</v>
      </c>
      <c r="J112" s="128">
        <f>J113</f>
        <v>20</v>
      </c>
      <c r="K112" s="128">
        <f t="shared" si="31"/>
        <v>9.9999999999766942E-4</v>
      </c>
      <c r="L112" s="128">
        <f t="shared" si="32"/>
        <v>100.005</v>
      </c>
      <c r="M112" s="128">
        <f t="shared" si="33"/>
        <v>-9.9999999999766942E-4</v>
      </c>
      <c r="N112" s="128">
        <f t="shared" si="34"/>
        <v>99.995000249987513</v>
      </c>
      <c r="O112" s="128">
        <f t="shared" si="35"/>
        <v>100</v>
      </c>
      <c r="P112" s="128">
        <f t="shared" si="36"/>
        <v>100</v>
      </c>
      <c r="Q112" s="128">
        <f t="shared" si="37"/>
        <v>0</v>
      </c>
      <c r="R112" s="128">
        <f t="shared" si="38"/>
        <v>100</v>
      </c>
      <c r="S112" s="128">
        <f>J112/$J$386*100</f>
        <v>1.8879812829402199E-2</v>
      </c>
    </row>
    <row r="113" spans="1:19" s="162" customFormat="1" ht="71.25" customHeight="1">
      <c r="A113" s="161" t="s">
        <v>490</v>
      </c>
      <c r="B113" s="140">
        <v>1</v>
      </c>
      <c r="C113" s="141">
        <v>13</v>
      </c>
      <c r="D113" s="142">
        <v>4070089202</v>
      </c>
      <c r="E113" s="143"/>
      <c r="F113" s="143"/>
      <c r="G113" s="128">
        <f t="shared" ref="G113:J114" si="43">SUM(G114)</f>
        <v>20</v>
      </c>
      <c r="H113" s="128">
        <f>SUM(H114)</f>
        <v>20</v>
      </c>
      <c r="I113" s="128">
        <f t="shared" si="43"/>
        <v>20.000999999999998</v>
      </c>
      <c r="J113" s="128">
        <f t="shared" si="43"/>
        <v>20</v>
      </c>
      <c r="K113" s="128">
        <f t="shared" si="31"/>
        <v>9.9999999999766942E-4</v>
      </c>
      <c r="L113" s="128">
        <f t="shared" si="32"/>
        <v>100.005</v>
      </c>
      <c r="M113" s="128">
        <f t="shared" si="33"/>
        <v>-9.9999999999766942E-4</v>
      </c>
      <c r="N113" s="128">
        <f t="shared" si="34"/>
        <v>99.995000249987513</v>
      </c>
      <c r="O113" s="128">
        <f t="shared" si="35"/>
        <v>100</v>
      </c>
      <c r="P113" s="128">
        <f t="shared" si="36"/>
        <v>100</v>
      </c>
      <c r="Q113" s="128">
        <f t="shared" si="37"/>
        <v>0</v>
      </c>
      <c r="R113" s="128">
        <f t="shared" si="38"/>
        <v>100</v>
      </c>
      <c r="S113" s="128">
        <f>J113/$J$386*100</f>
        <v>1.8879812829402199E-2</v>
      </c>
    </row>
    <row r="114" spans="1:19" ht="45" customHeight="1">
      <c r="A114" s="126" t="s">
        <v>431</v>
      </c>
      <c r="B114" s="140">
        <v>1</v>
      </c>
      <c r="C114" s="141">
        <v>13</v>
      </c>
      <c r="D114" s="142">
        <v>4070089202</v>
      </c>
      <c r="E114" s="143">
        <v>200</v>
      </c>
      <c r="F114" s="143"/>
      <c r="G114" s="128">
        <f t="shared" si="43"/>
        <v>20</v>
      </c>
      <c r="H114" s="128">
        <f>SUM(H115)</f>
        <v>20</v>
      </c>
      <c r="I114" s="128">
        <f t="shared" si="43"/>
        <v>20.000999999999998</v>
      </c>
      <c r="J114" s="128">
        <f t="shared" si="43"/>
        <v>20</v>
      </c>
      <c r="K114" s="128">
        <f t="shared" si="31"/>
        <v>9.9999999999766942E-4</v>
      </c>
      <c r="L114" s="128">
        <f t="shared" si="32"/>
        <v>100.005</v>
      </c>
      <c r="M114" s="128">
        <f t="shared" si="33"/>
        <v>-9.9999999999766942E-4</v>
      </c>
      <c r="N114" s="128">
        <f t="shared" si="34"/>
        <v>99.995000249987513</v>
      </c>
      <c r="O114" s="128">
        <f t="shared" si="35"/>
        <v>100</v>
      </c>
      <c r="P114" s="128">
        <f t="shared" si="36"/>
        <v>100</v>
      </c>
      <c r="Q114" s="128">
        <f t="shared" si="37"/>
        <v>0</v>
      </c>
      <c r="R114" s="128">
        <f t="shared" si="38"/>
        <v>100</v>
      </c>
      <c r="S114" s="128">
        <f>J114/$J$386*100</f>
        <v>1.8879812829402199E-2</v>
      </c>
    </row>
    <row r="115" spans="1:19" ht="46.15" customHeight="1">
      <c r="A115" s="139" t="s">
        <v>433</v>
      </c>
      <c r="B115" s="140">
        <v>1</v>
      </c>
      <c r="C115" s="141">
        <v>13</v>
      </c>
      <c r="D115" s="142">
        <v>4070089202</v>
      </c>
      <c r="E115" s="143">
        <v>240</v>
      </c>
      <c r="F115" s="143"/>
      <c r="G115" s="132">
        <v>20</v>
      </c>
      <c r="H115" s="132">
        <v>20</v>
      </c>
      <c r="I115" s="132">
        <f>I116+I117</f>
        <v>20.000999999999998</v>
      </c>
      <c r="J115" s="132">
        <f>J116+J117</f>
        <v>20</v>
      </c>
      <c r="K115" s="128">
        <f t="shared" si="31"/>
        <v>9.9999999999766942E-4</v>
      </c>
      <c r="L115" s="128">
        <f t="shared" si="32"/>
        <v>100.005</v>
      </c>
      <c r="M115" s="128">
        <f t="shared" si="33"/>
        <v>-9.9999999999766942E-4</v>
      </c>
      <c r="N115" s="128">
        <f t="shared" si="34"/>
        <v>99.995000249987513</v>
      </c>
      <c r="O115" s="128">
        <f t="shared" si="35"/>
        <v>100</v>
      </c>
      <c r="P115" s="128">
        <f t="shared" si="36"/>
        <v>100</v>
      </c>
      <c r="Q115" s="128">
        <f t="shared" si="37"/>
        <v>0</v>
      </c>
      <c r="R115" s="128">
        <f t="shared" si="38"/>
        <v>100</v>
      </c>
      <c r="S115" s="128">
        <f>J115/$J$386*100</f>
        <v>1.8879812829402199E-2</v>
      </c>
    </row>
    <row r="116" spans="1:19" ht="22.5" customHeight="1">
      <c r="A116" s="139"/>
      <c r="B116" s="140">
        <v>1</v>
      </c>
      <c r="C116" s="141">
        <v>13</v>
      </c>
      <c r="D116" s="142">
        <v>4070089202</v>
      </c>
      <c r="E116" s="143">
        <v>244</v>
      </c>
      <c r="F116" s="143">
        <v>346</v>
      </c>
      <c r="G116" s="132"/>
      <c r="H116" s="132"/>
      <c r="I116" s="132">
        <v>14.635999999999999</v>
      </c>
      <c r="J116" s="132">
        <v>14.635999999999999</v>
      </c>
      <c r="K116" s="128"/>
      <c r="L116" s="128"/>
      <c r="M116" s="128"/>
      <c r="N116" s="128"/>
      <c r="O116" s="128"/>
      <c r="P116" s="128"/>
      <c r="Q116" s="128"/>
      <c r="R116" s="128"/>
      <c r="S116" s="128"/>
    </row>
    <row r="117" spans="1:19" ht="20.25" customHeight="1">
      <c r="A117" s="139"/>
      <c r="B117" s="140">
        <v>1</v>
      </c>
      <c r="C117" s="141">
        <v>13</v>
      </c>
      <c r="D117" s="142">
        <v>4070089202</v>
      </c>
      <c r="E117" s="143">
        <v>244</v>
      </c>
      <c r="F117" s="143">
        <v>349</v>
      </c>
      <c r="G117" s="132"/>
      <c r="H117" s="132"/>
      <c r="I117" s="132">
        <v>5.3650000000000002</v>
      </c>
      <c r="J117" s="132">
        <v>5.3639999999999999</v>
      </c>
      <c r="K117" s="128"/>
      <c r="L117" s="128"/>
      <c r="M117" s="128"/>
      <c r="N117" s="128"/>
      <c r="O117" s="128"/>
      <c r="P117" s="128"/>
      <c r="Q117" s="128"/>
      <c r="R117" s="128"/>
      <c r="S117" s="128"/>
    </row>
    <row r="118" spans="1:19" s="122" customFormat="1" ht="29.25" customHeight="1">
      <c r="A118" s="119" t="s">
        <v>353</v>
      </c>
      <c r="B118" s="120" t="s">
        <v>338</v>
      </c>
      <c r="C118" s="120"/>
      <c r="D118" s="120"/>
      <c r="E118" s="120"/>
      <c r="F118" s="120"/>
      <c r="G118" s="163">
        <f t="shared" ref="G118:J123" si="44">G119</f>
        <v>700.5</v>
      </c>
      <c r="H118" s="163">
        <f t="shared" si="44"/>
        <v>700.5</v>
      </c>
      <c r="I118" s="121">
        <f t="shared" si="44"/>
        <v>700.49909000000002</v>
      </c>
      <c r="J118" s="121">
        <f t="shared" si="44"/>
        <v>700.49909000000002</v>
      </c>
      <c r="K118" s="121">
        <f t="shared" si="31"/>
        <v>-9.0999999997620762E-4</v>
      </c>
      <c r="L118" s="121">
        <f t="shared" si="32"/>
        <v>99.999870092790871</v>
      </c>
      <c r="M118" s="121">
        <f t="shared" si="33"/>
        <v>0</v>
      </c>
      <c r="N118" s="121">
        <f t="shared" si="34"/>
        <v>100</v>
      </c>
      <c r="O118" s="121">
        <f t="shared" si="35"/>
        <v>99.999870092790871</v>
      </c>
      <c r="P118" s="121">
        <f t="shared" si="36"/>
        <v>99.999870092790871</v>
      </c>
      <c r="Q118" s="121">
        <f t="shared" si="37"/>
        <v>0</v>
      </c>
      <c r="R118" s="121">
        <f t="shared" si="38"/>
        <v>100</v>
      </c>
      <c r="S118" s="121">
        <f t="shared" ref="S118:S124" si="45">J118/$J$386*100</f>
        <v>0.66126458531832821</v>
      </c>
    </row>
    <row r="119" spans="1:19" s="122" customFormat="1" ht="36.75" customHeight="1">
      <c r="A119" s="164" t="s">
        <v>354</v>
      </c>
      <c r="B119" s="124" t="s">
        <v>338</v>
      </c>
      <c r="C119" s="124" t="s">
        <v>333</v>
      </c>
      <c r="D119" s="124"/>
      <c r="E119" s="124"/>
      <c r="F119" s="124"/>
      <c r="G119" s="165">
        <f t="shared" si="44"/>
        <v>700.5</v>
      </c>
      <c r="H119" s="165">
        <f t="shared" si="44"/>
        <v>700.5</v>
      </c>
      <c r="I119" s="125">
        <f t="shared" si="44"/>
        <v>700.49909000000002</v>
      </c>
      <c r="J119" s="125">
        <f t="shared" si="44"/>
        <v>700.49909000000002</v>
      </c>
      <c r="K119" s="125">
        <f t="shared" si="31"/>
        <v>-9.0999999997620762E-4</v>
      </c>
      <c r="L119" s="125">
        <f t="shared" si="32"/>
        <v>99.999870092790871</v>
      </c>
      <c r="M119" s="125">
        <f t="shared" si="33"/>
        <v>0</v>
      </c>
      <c r="N119" s="125">
        <f t="shared" si="34"/>
        <v>100</v>
      </c>
      <c r="O119" s="125">
        <f t="shared" si="35"/>
        <v>99.999870092790871</v>
      </c>
      <c r="P119" s="125">
        <f t="shared" si="36"/>
        <v>99.999870092790871</v>
      </c>
      <c r="Q119" s="125">
        <f t="shared" si="37"/>
        <v>0</v>
      </c>
      <c r="R119" s="125">
        <f t="shared" si="38"/>
        <v>100</v>
      </c>
      <c r="S119" s="125">
        <f t="shared" si="45"/>
        <v>0.66126458531832821</v>
      </c>
    </row>
    <row r="120" spans="1:19" ht="34.5" customHeight="1">
      <c r="A120" s="126" t="s">
        <v>413</v>
      </c>
      <c r="B120" s="127" t="s">
        <v>338</v>
      </c>
      <c r="C120" s="127" t="s">
        <v>333</v>
      </c>
      <c r="D120" s="127" t="s">
        <v>414</v>
      </c>
      <c r="E120" s="127"/>
      <c r="F120" s="127"/>
      <c r="G120" s="144">
        <f t="shared" si="44"/>
        <v>700.5</v>
      </c>
      <c r="H120" s="144">
        <f>H121</f>
        <v>700.5</v>
      </c>
      <c r="I120" s="128">
        <f t="shared" si="44"/>
        <v>700.49909000000002</v>
      </c>
      <c r="J120" s="128">
        <f t="shared" si="44"/>
        <v>700.49909000000002</v>
      </c>
      <c r="K120" s="128">
        <f t="shared" si="31"/>
        <v>-9.0999999997620762E-4</v>
      </c>
      <c r="L120" s="128">
        <f t="shared" si="32"/>
        <v>99.999870092790871</v>
      </c>
      <c r="M120" s="128">
        <f t="shared" si="33"/>
        <v>0</v>
      </c>
      <c r="N120" s="128">
        <f t="shared" si="34"/>
        <v>100</v>
      </c>
      <c r="O120" s="128">
        <f t="shared" si="35"/>
        <v>99.999870092790871</v>
      </c>
      <c r="P120" s="128">
        <f t="shared" si="36"/>
        <v>99.999870092790871</v>
      </c>
      <c r="Q120" s="128">
        <f t="shared" si="37"/>
        <v>0</v>
      </c>
      <c r="R120" s="128">
        <f t="shared" si="38"/>
        <v>100</v>
      </c>
      <c r="S120" s="128">
        <f t="shared" si="45"/>
        <v>0.66126458531832821</v>
      </c>
    </row>
    <row r="121" spans="1:19" ht="61.5" customHeight="1">
      <c r="A121" s="166" t="s">
        <v>491</v>
      </c>
      <c r="B121" s="127" t="s">
        <v>338</v>
      </c>
      <c r="C121" s="127" t="s">
        <v>333</v>
      </c>
      <c r="D121" s="146">
        <v>4040000000</v>
      </c>
      <c r="E121" s="127"/>
      <c r="F121" s="127"/>
      <c r="G121" s="144">
        <f t="shared" si="44"/>
        <v>700.5</v>
      </c>
      <c r="H121" s="144">
        <f t="shared" si="44"/>
        <v>700.5</v>
      </c>
      <c r="I121" s="128">
        <f t="shared" si="44"/>
        <v>700.49909000000002</v>
      </c>
      <c r="J121" s="128">
        <f t="shared" si="44"/>
        <v>700.49909000000002</v>
      </c>
      <c r="K121" s="128">
        <f t="shared" si="31"/>
        <v>-9.0999999997620762E-4</v>
      </c>
      <c r="L121" s="128">
        <f t="shared" si="32"/>
        <v>99.999870092790871</v>
      </c>
      <c r="M121" s="128">
        <f t="shared" si="33"/>
        <v>0</v>
      </c>
      <c r="N121" s="128">
        <f t="shared" si="34"/>
        <v>100</v>
      </c>
      <c r="O121" s="128">
        <f t="shared" si="35"/>
        <v>99.999870092790871</v>
      </c>
      <c r="P121" s="128">
        <f t="shared" si="36"/>
        <v>99.999870092790871</v>
      </c>
      <c r="Q121" s="128">
        <f t="shared" si="37"/>
        <v>0</v>
      </c>
      <c r="R121" s="128">
        <f t="shared" si="38"/>
        <v>100</v>
      </c>
      <c r="S121" s="128">
        <f t="shared" si="45"/>
        <v>0.66126458531832821</v>
      </c>
    </row>
    <row r="122" spans="1:19" ht="67.5" customHeight="1">
      <c r="A122" s="126" t="s">
        <v>492</v>
      </c>
      <c r="B122" s="127" t="s">
        <v>338</v>
      </c>
      <c r="C122" s="127" t="s">
        <v>333</v>
      </c>
      <c r="D122" s="146">
        <v>4040051180</v>
      </c>
      <c r="E122" s="127"/>
      <c r="F122" s="127"/>
      <c r="G122" s="144">
        <f t="shared" si="44"/>
        <v>700.5</v>
      </c>
      <c r="H122" s="144">
        <f t="shared" si="44"/>
        <v>700.5</v>
      </c>
      <c r="I122" s="128">
        <f t="shared" si="44"/>
        <v>700.49909000000002</v>
      </c>
      <c r="J122" s="128">
        <f t="shared" si="44"/>
        <v>700.49909000000002</v>
      </c>
      <c r="K122" s="128">
        <f t="shared" si="31"/>
        <v>-9.0999999997620762E-4</v>
      </c>
      <c r="L122" s="128">
        <f t="shared" si="32"/>
        <v>99.999870092790871</v>
      </c>
      <c r="M122" s="128">
        <f t="shared" si="33"/>
        <v>0</v>
      </c>
      <c r="N122" s="128">
        <f t="shared" si="34"/>
        <v>100</v>
      </c>
      <c r="O122" s="128">
        <f t="shared" si="35"/>
        <v>99.999870092790871</v>
      </c>
      <c r="P122" s="128">
        <f t="shared" si="36"/>
        <v>99.999870092790871</v>
      </c>
      <c r="Q122" s="128">
        <f t="shared" si="37"/>
        <v>0</v>
      </c>
      <c r="R122" s="128">
        <f t="shared" si="38"/>
        <v>100</v>
      </c>
      <c r="S122" s="128">
        <f t="shared" si="45"/>
        <v>0.66126458531832821</v>
      </c>
    </row>
    <row r="123" spans="1:19" ht="81.75" customHeight="1">
      <c r="A123" s="131" t="s">
        <v>419</v>
      </c>
      <c r="B123" s="127" t="s">
        <v>338</v>
      </c>
      <c r="C123" s="127" t="s">
        <v>333</v>
      </c>
      <c r="D123" s="146">
        <v>4040051180</v>
      </c>
      <c r="E123" s="127" t="s">
        <v>420</v>
      </c>
      <c r="F123" s="127"/>
      <c r="G123" s="144">
        <f t="shared" si="44"/>
        <v>700.5</v>
      </c>
      <c r="H123" s="144">
        <f t="shared" si="44"/>
        <v>700.5</v>
      </c>
      <c r="I123" s="128">
        <f t="shared" si="44"/>
        <v>700.49909000000002</v>
      </c>
      <c r="J123" s="128">
        <f t="shared" si="44"/>
        <v>700.49909000000002</v>
      </c>
      <c r="K123" s="128">
        <f t="shared" si="31"/>
        <v>-9.0999999997620762E-4</v>
      </c>
      <c r="L123" s="128">
        <f t="shared" si="32"/>
        <v>99.999870092790871</v>
      </c>
      <c r="M123" s="128">
        <f t="shared" si="33"/>
        <v>0</v>
      </c>
      <c r="N123" s="128">
        <f t="shared" si="34"/>
        <v>100</v>
      </c>
      <c r="O123" s="128">
        <f t="shared" si="35"/>
        <v>99.999870092790871</v>
      </c>
      <c r="P123" s="128">
        <f t="shared" si="36"/>
        <v>99.999870092790871</v>
      </c>
      <c r="Q123" s="128">
        <f t="shared" si="37"/>
        <v>0</v>
      </c>
      <c r="R123" s="128">
        <f t="shared" si="38"/>
        <v>100</v>
      </c>
      <c r="S123" s="128">
        <f t="shared" si="45"/>
        <v>0.66126458531832821</v>
      </c>
    </row>
    <row r="124" spans="1:19" ht="43.5" customHeight="1">
      <c r="A124" s="126" t="s">
        <v>421</v>
      </c>
      <c r="B124" s="127" t="s">
        <v>338</v>
      </c>
      <c r="C124" s="127" t="s">
        <v>333</v>
      </c>
      <c r="D124" s="146">
        <v>4040051180</v>
      </c>
      <c r="E124" s="127" t="s">
        <v>422</v>
      </c>
      <c r="F124" s="127"/>
      <c r="G124" s="145">
        <v>700.5</v>
      </c>
      <c r="H124" s="145">
        <v>700.5</v>
      </c>
      <c r="I124" s="132">
        <f>I125+I126+I127</f>
        <v>700.49909000000002</v>
      </c>
      <c r="J124" s="132">
        <f>J125+J126+J127</f>
        <v>700.49909000000002</v>
      </c>
      <c r="K124" s="128">
        <f t="shared" si="31"/>
        <v>-9.0999999997620762E-4</v>
      </c>
      <c r="L124" s="128">
        <f t="shared" si="32"/>
        <v>99.999870092790871</v>
      </c>
      <c r="M124" s="128">
        <f t="shared" si="33"/>
        <v>0</v>
      </c>
      <c r="N124" s="128">
        <f t="shared" si="34"/>
        <v>100</v>
      </c>
      <c r="O124" s="128">
        <f t="shared" si="35"/>
        <v>99.999870092790871</v>
      </c>
      <c r="P124" s="128">
        <f t="shared" si="36"/>
        <v>99.999870092790871</v>
      </c>
      <c r="Q124" s="128">
        <f t="shared" si="37"/>
        <v>0</v>
      </c>
      <c r="R124" s="128">
        <f t="shared" si="38"/>
        <v>100</v>
      </c>
      <c r="S124" s="128">
        <f t="shared" si="45"/>
        <v>0.66126458531832821</v>
      </c>
    </row>
    <row r="125" spans="1:19" ht="19.5" customHeight="1">
      <c r="A125" s="126"/>
      <c r="B125" s="127" t="s">
        <v>338</v>
      </c>
      <c r="C125" s="127" t="s">
        <v>333</v>
      </c>
      <c r="D125" s="146">
        <v>4040051180</v>
      </c>
      <c r="E125" s="127" t="s">
        <v>423</v>
      </c>
      <c r="F125" s="127" t="s">
        <v>424</v>
      </c>
      <c r="G125" s="145"/>
      <c r="H125" s="145"/>
      <c r="I125" s="132">
        <v>535.80100000000004</v>
      </c>
      <c r="J125" s="132">
        <v>535.80100000000004</v>
      </c>
      <c r="K125" s="128"/>
      <c r="L125" s="128"/>
      <c r="M125" s="128"/>
      <c r="N125" s="128"/>
      <c r="O125" s="128"/>
      <c r="P125" s="128"/>
      <c r="Q125" s="128"/>
      <c r="R125" s="128"/>
      <c r="S125" s="128"/>
    </row>
    <row r="126" spans="1:19" ht="21" customHeight="1">
      <c r="A126" s="126"/>
      <c r="B126" s="127" t="s">
        <v>338</v>
      </c>
      <c r="C126" s="127" t="s">
        <v>333</v>
      </c>
      <c r="D126" s="146">
        <v>4040051180</v>
      </c>
      <c r="E126" s="127" t="s">
        <v>423</v>
      </c>
      <c r="F126" s="127" t="s">
        <v>438</v>
      </c>
      <c r="G126" s="145"/>
      <c r="H126" s="145"/>
      <c r="I126" s="132">
        <v>2.8860000000000001</v>
      </c>
      <c r="J126" s="132">
        <v>2.8860000000000001</v>
      </c>
      <c r="K126" s="128"/>
      <c r="L126" s="128"/>
      <c r="M126" s="128"/>
      <c r="N126" s="128"/>
      <c r="O126" s="128"/>
      <c r="P126" s="128"/>
      <c r="Q126" s="128"/>
      <c r="R126" s="128"/>
      <c r="S126" s="128"/>
    </row>
    <row r="127" spans="1:19" ht="21.75" customHeight="1">
      <c r="A127" s="126"/>
      <c r="B127" s="127" t="s">
        <v>338</v>
      </c>
      <c r="C127" s="127" t="s">
        <v>333</v>
      </c>
      <c r="D127" s="146">
        <v>4040051180</v>
      </c>
      <c r="E127" s="127" t="s">
        <v>429</v>
      </c>
      <c r="F127" s="127" t="s">
        <v>430</v>
      </c>
      <c r="G127" s="145"/>
      <c r="H127" s="145"/>
      <c r="I127" s="132">
        <v>161.81209000000001</v>
      </c>
      <c r="J127" s="132">
        <v>161.81209000000001</v>
      </c>
      <c r="K127" s="128"/>
      <c r="L127" s="128"/>
      <c r="M127" s="128"/>
      <c r="N127" s="128"/>
      <c r="O127" s="128"/>
      <c r="P127" s="128"/>
      <c r="Q127" s="128"/>
      <c r="R127" s="128"/>
      <c r="S127" s="128"/>
    </row>
    <row r="128" spans="1:19" s="122" customFormat="1" ht="49.5" customHeight="1">
      <c r="A128" s="167" t="s">
        <v>356</v>
      </c>
      <c r="B128" s="120" t="s">
        <v>333</v>
      </c>
      <c r="C128" s="120"/>
      <c r="D128" s="120"/>
      <c r="E128" s="120"/>
      <c r="F128" s="120"/>
      <c r="G128" s="163">
        <f>G129+G168+G146</f>
        <v>330.79999999999995</v>
      </c>
      <c r="H128" s="163">
        <f>H129+H168+H146</f>
        <v>1274.2999999999997</v>
      </c>
      <c r="I128" s="121">
        <f>I129+I168+I146</f>
        <v>1274.2813899999999</v>
      </c>
      <c r="J128" s="121">
        <f>J129+J168+J146</f>
        <v>1274.2796700000001</v>
      </c>
      <c r="K128" s="121">
        <f t="shared" si="31"/>
        <v>-1.8609999999853244E-2</v>
      </c>
      <c r="L128" s="121">
        <f t="shared" si="32"/>
        <v>99.99853959036335</v>
      </c>
      <c r="M128" s="121">
        <f t="shared" si="33"/>
        <v>-1.7199999997501436E-3</v>
      </c>
      <c r="N128" s="121">
        <f t="shared" si="34"/>
        <v>99.999865021963501</v>
      </c>
      <c r="O128" s="121">
        <f t="shared" si="35"/>
        <v>385.21150846432903</v>
      </c>
      <c r="P128" s="121">
        <f t="shared" si="36"/>
        <v>99.998404614298082</v>
      </c>
      <c r="Q128" s="121">
        <f t="shared" si="37"/>
        <v>943.49999999999977</v>
      </c>
      <c r="R128" s="121">
        <f t="shared" si="38"/>
        <v>385.21765417170496</v>
      </c>
      <c r="S128" s="121">
        <f t="shared" ref="S128:S134" si="46">J128/$J$386*100</f>
        <v>1.20290808309562</v>
      </c>
    </row>
    <row r="129" spans="1:19" s="122" customFormat="1" ht="31.5" customHeight="1">
      <c r="A129" s="135" t="s">
        <v>357</v>
      </c>
      <c r="B129" s="124" t="s">
        <v>333</v>
      </c>
      <c r="C129" s="124" t="s">
        <v>341</v>
      </c>
      <c r="D129" s="124"/>
      <c r="E129" s="124"/>
      <c r="F129" s="124"/>
      <c r="G129" s="165">
        <f>G130</f>
        <v>143.6</v>
      </c>
      <c r="H129" s="165">
        <f>H130</f>
        <v>143.6</v>
      </c>
      <c r="I129" s="125">
        <f>I130</f>
        <v>143.59628999999998</v>
      </c>
      <c r="J129" s="125">
        <f>J130</f>
        <v>143.59535</v>
      </c>
      <c r="K129" s="125">
        <f t="shared" si="31"/>
        <v>-3.7100000000123146E-3</v>
      </c>
      <c r="L129" s="125">
        <f t="shared" si="32"/>
        <v>99.997416434540369</v>
      </c>
      <c r="M129" s="125">
        <f t="shared" si="33"/>
        <v>-9.3999999998573003E-4</v>
      </c>
      <c r="N129" s="125">
        <f t="shared" si="34"/>
        <v>99.999345386987372</v>
      </c>
      <c r="O129" s="125">
        <f t="shared" si="35"/>
        <v>99.996761838440122</v>
      </c>
      <c r="P129" s="125">
        <f t="shared" si="36"/>
        <v>99.996761838440122</v>
      </c>
      <c r="Q129" s="125">
        <f t="shared" si="37"/>
        <v>0</v>
      </c>
      <c r="R129" s="125">
        <f t="shared" si="38"/>
        <v>100</v>
      </c>
      <c r="S129" s="125">
        <f t="shared" si="46"/>
        <v>0.13555266655862494</v>
      </c>
    </row>
    <row r="130" spans="1:19" ht="42" customHeight="1">
      <c r="A130" s="126" t="s">
        <v>413</v>
      </c>
      <c r="B130" s="127" t="s">
        <v>333</v>
      </c>
      <c r="C130" s="127" t="s">
        <v>341</v>
      </c>
      <c r="D130" s="127" t="s">
        <v>414</v>
      </c>
      <c r="E130" s="127"/>
      <c r="F130" s="127"/>
      <c r="G130" s="145">
        <f>SUM(G131)</f>
        <v>143.6</v>
      </c>
      <c r="H130" s="145">
        <f>SUM(H131)</f>
        <v>143.6</v>
      </c>
      <c r="I130" s="145">
        <f>SUM(I131)</f>
        <v>143.59628999999998</v>
      </c>
      <c r="J130" s="145">
        <f>SUM(J131)</f>
        <v>143.59535</v>
      </c>
      <c r="K130" s="128">
        <f t="shared" si="31"/>
        <v>-3.7100000000123146E-3</v>
      </c>
      <c r="L130" s="128">
        <f t="shared" si="32"/>
        <v>99.997416434540369</v>
      </c>
      <c r="M130" s="128">
        <f t="shared" si="33"/>
        <v>-9.3999999998573003E-4</v>
      </c>
      <c r="N130" s="128">
        <f t="shared" si="34"/>
        <v>99.999345386987372</v>
      </c>
      <c r="O130" s="128">
        <f t="shared" si="35"/>
        <v>99.996761838440122</v>
      </c>
      <c r="P130" s="128">
        <f t="shared" si="36"/>
        <v>99.996761838440122</v>
      </c>
      <c r="Q130" s="128">
        <f t="shared" si="37"/>
        <v>0</v>
      </c>
      <c r="R130" s="128">
        <f t="shared" si="38"/>
        <v>100</v>
      </c>
      <c r="S130" s="128">
        <f t="shared" si="46"/>
        <v>0.13555266655862494</v>
      </c>
    </row>
    <row r="131" spans="1:19" ht="60.75" customHeight="1">
      <c r="A131" s="126" t="s">
        <v>415</v>
      </c>
      <c r="B131" s="127" t="s">
        <v>333</v>
      </c>
      <c r="C131" s="127" t="s">
        <v>341</v>
      </c>
      <c r="D131" s="127" t="s">
        <v>416</v>
      </c>
      <c r="E131" s="127"/>
      <c r="F131" s="127"/>
      <c r="G131" s="145">
        <f>SUM(G132+G139)</f>
        <v>143.6</v>
      </c>
      <c r="H131" s="145">
        <f>SUM(H132+H139)</f>
        <v>143.6</v>
      </c>
      <c r="I131" s="145">
        <f>SUM(I132+I139)</f>
        <v>143.59628999999998</v>
      </c>
      <c r="J131" s="145">
        <f>SUM(J132+J139)</f>
        <v>143.59535</v>
      </c>
      <c r="K131" s="128">
        <f t="shared" si="31"/>
        <v>-3.7100000000123146E-3</v>
      </c>
      <c r="L131" s="128">
        <f t="shared" si="32"/>
        <v>99.997416434540369</v>
      </c>
      <c r="M131" s="128">
        <f t="shared" si="33"/>
        <v>-9.3999999998573003E-4</v>
      </c>
      <c r="N131" s="128">
        <f t="shared" si="34"/>
        <v>99.999345386987372</v>
      </c>
      <c r="O131" s="128">
        <f t="shared" si="35"/>
        <v>99.996761838440122</v>
      </c>
      <c r="P131" s="128">
        <f t="shared" si="36"/>
        <v>99.996761838440122</v>
      </c>
      <c r="Q131" s="128">
        <f t="shared" si="37"/>
        <v>0</v>
      </c>
      <c r="R131" s="128">
        <f t="shared" si="38"/>
        <v>100</v>
      </c>
      <c r="S131" s="128">
        <f t="shared" si="46"/>
        <v>0.13555266655862494</v>
      </c>
    </row>
    <row r="132" spans="1:19" ht="59.25" customHeight="1">
      <c r="A132" s="168" t="s">
        <v>493</v>
      </c>
      <c r="B132" s="127" t="s">
        <v>333</v>
      </c>
      <c r="C132" s="127" t="s">
        <v>341</v>
      </c>
      <c r="D132" s="127" t="s">
        <v>494</v>
      </c>
      <c r="E132" s="127"/>
      <c r="F132" s="127"/>
      <c r="G132" s="132">
        <f>SUM(G133)+G137</f>
        <v>98.5</v>
      </c>
      <c r="H132" s="132">
        <f>SUM(H133)+H137</f>
        <v>98.5</v>
      </c>
      <c r="I132" s="132">
        <f>SUM(I133)+I137</f>
        <v>98.49893999999999</v>
      </c>
      <c r="J132" s="132">
        <f>SUM(J133)+J137</f>
        <v>98.49799999999999</v>
      </c>
      <c r="K132" s="128">
        <f t="shared" si="31"/>
        <v>-1.0600000000096088E-3</v>
      </c>
      <c r="L132" s="128">
        <f t="shared" si="32"/>
        <v>99.998923857868007</v>
      </c>
      <c r="M132" s="128">
        <f t="shared" si="33"/>
        <v>-9.3999999999994088E-4</v>
      </c>
      <c r="N132" s="128">
        <f t="shared" si="34"/>
        <v>99.999045675009285</v>
      </c>
      <c r="O132" s="128">
        <f t="shared" si="35"/>
        <v>99.997969543147207</v>
      </c>
      <c r="P132" s="128">
        <f t="shared" si="36"/>
        <v>99.997969543147207</v>
      </c>
      <c r="Q132" s="128">
        <f t="shared" si="37"/>
        <v>0</v>
      </c>
      <c r="R132" s="128">
        <f t="shared" si="38"/>
        <v>100</v>
      </c>
      <c r="S132" s="128">
        <f t="shared" si="46"/>
        <v>9.298119020352287E-2</v>
      </c>
    </row>
    <row r="133" spans="1:19" ht="76.5" customHeight="1">
      <c r="A133" s="131" t="s">
        <v>419</v>
      </c>
      <c r="B133" s="127" t="s">
        <v>333</v>
      </c>
      <c r="C133" s="127" t="s">
        <v>341</v>
      </c>
      <c r="D133" s="127" t="s">
        <v>494</v>
      </c>
      <c r="E133" s="127" t="s">
        <v>420</v>
      </c>
      <c r="F133" s="127"/>
      <c r="G133" s="132">
        <f>SUM(G134)</f>
        <v>98.5</v>
      </c>
      <c r="H133" s="132">
        <f>SUM(H134)</f>
        <v>96.2</v>
      </c>
      <c r="I133" s="132">
        <f>SUM(I134)</f>
        <v>96.150939999999991</v>
      </c>
      <c r="J133" s="132">
        <f>SUM(J134)</f>
        <v>96.149999999999991</v>
      </c>
      <c r="K133" s="128">
        <f t="shared" si="31"/>
        <v>-4.9060000000011428E-2</v>
      </c>
      <c r="L133" s="128">
        <f t="shared" si="32"/>
        <v>99.949002079002071</v>
      </c>
      <c r="M133" s="128">
        <f t="shared" si="33"/>
        <v>-9.3999999999994088E-4</v>
      </c>
      <c r="N133" s="128">
        <f t="shared" si="34"/>
        <v>99.999022370452124</v>
      </c>
      <c r="O133" s="128">
        <f t="shared" si="35"/>
        <v>97.614213197969534</v>
      </c>
      <c r="P133" s="128">
        <f t="shared" si="36"/>
        <v>99.948024948024937</v>
      </c>
      <c r="Q133" s="128">
        <f t="shared" si="37"/>
        <v>-2.2999999999999972</v>
      </c>
      <c r="R133" s="128">
        <f t="shared" si="38"/>
        <v>97.664974619289353</v>
      </c>
      <c r="S133" s="128">
        <f t="shared" si="46"/>
        <v>9.0764700177351054E-2</v>
      </c>
    </row>
    <row r="134" spans="1:19" ht="47.25" customHeight="1">
      <c r="A134" s="126" t="s">
        <v>421</v>
      </c>
      <c r="B134" s="127" t="s">
        <v>333</v>
      </c>
      <c r="C134" s="127" t="s">
        <v>341</v>
      </c>
      <c r="D134" s="127" t="s">
        <v>494</v>
      </c>
      <c r="E134" s="127" t="s">
        <v>422</v>
      </c>
      <c r="F134" s="127"/>
      <c r="G134" s="132">
        <v>98.5</v>
      </c>
      <c r="H134" s="132">
        <v>96.2</v>
      </c>
      <c r="I134" s="132">
        <f>I135+I136</f>
        <v>96.150939999999991</v>
      </c>
      <c r="J134" s="132">
        <f>J135+J136</f>
        <v>96.149999999999991</v>
      </c>
      <c r="K134" s="128">
        <f t="shared" si="31"/>
        <v>-4.9060000000011428E-2</v>
      </c>
      <c r="L134" s="128">
        <f t="shared" si="32"/>
        <v>99.949002079002071</v>
      </c>
      <c r="M134" s="128">
        <f t="shared" si="33"/>
        <v>-9.3999999999994088E-4</v>
      </c>
      <c r="N134" s="128">
        <f t="shared" si="34"/>
        <v>99.999022370452124</v>
      </c>
      <c r="O134" s="128">
        <f t="shared" si="35"/>
        <v>97.614213197969534</v>
      </c>
      <c r="P134" s="128">
        <f t="shared" si="36"/>
        <v>99.948024948024937</v>
      </c>
      <c r="Q134" s="128">
        <f t="shared" si="37"/>
        <v>-2.2999999999999972</v>
      </c>
      <c r="R134" s="128">
        <f t="shared" si="38"/>
        <v>97.664974619289353</v>
      </c>
      <c r="S134" s="128">
        <f t="shared" si="46"/>
        <v>9.0764700177351054E-2</v>
      </c>
    </row>
    <row r="135" spans="1:19" ht="22.5" customHeight="1">
      <c r="A135" s="126"/>
      <c r="B135" s="127" t="s">
        <v>333</v>
      </c>
      <c r="C135" s="127" t="s">
        <v>341</v>
      </c>
      <c r="D135" s="127" t="s">
        <v>494</v>
      </c>
      <c r="E135" s="127" t="s">
        <v>423</v>
      </c>
      <c r="F135" s="127" t="s">
        <v>424</v>
      </c>
      <c r="G135" s="132"/>
      <c r="H135" s="132"/>
      <c r="I135" s="132">
        <v>72.121939999999995</v>
      </c>
      <c r="J135" s="132">
        <v>72.120999999999995</v>
      </c>
      <c r="K135" s="128"/>
      <c r="L135" s="128"/>
      <c r="M135" s="128"/>
      <c r="N135" s="128"/>
      <c r="O135" s="128"/>
      <c r="P135" s="128"/>
      <c r="Q135" s="128"/>
      <c r="R135" s="128"/>
      <c r="S135" s="128"/>
    </row>
    <row r="136" spans="1:19" ht="21.75" customHeight="1">
      <c r="A136" s="126"/>
      <c r="B136" s="127" t="s">
        <v>333</v>
      </c>
      <c r="C136" s="127" t="s">
        <v>341</v>
      </c>
      <c r="D136" s="127" t="s">
        <v>494</v>
      </c>
      <c r="E136" s="127" t="s">
        <v>429</v>
      </c>
      <c r="F136" s="127" t="s">
        <v>430</v>
      </c>
      <c r="G136" s="132"/>
      <c r="H136" s="132"/>
      <c r="I136" s="132">
        <v>24.029</v>
      </c>
      <c r="J136" s="132">
        <v>24.029</v>
      </c>
      <c r="K136" s="128"/>
      <c r="L136" s="128"/>
      <c r="M136" s="128"/>
      <c r="N136" s="128"/>
      <c r="O136" s="128"/>
      <c r="P136" s="128"/>
      <c r="Q136" s="128"/>
      <c r="R136" s="128"/>
      <c r="S136" s="128"/>
    </row>
    <row r="137" spans="1:19" ht="46.5" customHeight="1">
      <c r="A137" s="126" t="s">
        <v>431</v>
      </c>
      <c r="B137" s="127" t="s">
        <v>333</v>
      </c>
      <c r="C137" s="127" t="s">
        <v>341</v>
      </c>
      <c r="D137" s="153" t="s">
        <v>494</v>
      </c>
      <c r="E137" s="169">
        <v>200</v>
      </c>
      <c r="F137" s="169"/>
      <c r="G137" s="128">
        <f>G138</f>
        <v>0</v>
      </c>
      <c r="H137" s="128">
        <v>2.2999999999999998</v>
      </c>
      <c r="I137" s="128">
        <f>I138</f>
        <v>2.3479999999999999</v>
      </c>
      <c r="J137" s="128">
        <f>J138</f>
        <v>2.3479999999999999</v>
      </c>
      <c r="K137" s="128">
        <f t="shared" ref="K137:K200" si="47">I137-H137</f>
        <v>4.8000000000000043E-2</v>
      </c>
      <c r="L137" s="128">
        <f t="shared" ref="L137:L200" si="48">I137/H137*100</f>
        <v>102.08695652173914</v>
      </c>
      <c r="M137" s="128">
        <f t="shared" ref="M137:M200" si="49">J137-I137</f>
        <v>0</v>
      </c>
      <c r="N137" s="128">
        <f t="shared" ref="N137:N200" si="50">J137/I137*100</f>
        <v>100</v>
      </c>
      <c r="O137" s="128"/>
      <c r="P137" s="128">
        <f t="shared" ref="P137:P200" si="51">J137/H137*100</f>
        <v>102.08695652173914</v>
      </c>
      <c r="Q137" s="128">
        <f t="shared" ref="Q137:Q200" si="52">H137-G137</f>
        <v>2.2999999999999998</v>
      </c>
      <c r="R137" s="128"/>
      <c r="S137" s="128">
        <f>J137/$J$386*100</f>
        <v>2.2164900261718175E-3</v>
      </c>
    </row>
    <row r="138" spans="1:19" ht="45.75" customHeight="1">
      <c r="A138" s="170" t="s">
        <v>433</v>
      </c>
      <c r="B138" s="127" t="s">
        <v>333</v>
      </c>
      <c r="C138" s="127" t="s">
        <v>341</v>
      </c>
      <c r="D138" s="153" t="s">
        <v>494</v>
      </c>
      <c r="E138" s="169">
        <v>244</v>
      </c>
      <c r="F138" s="169">
        <v>346</v>
      </c>
      <c r="G138" s="128"/>
      <c r="H138" s="128">
        <v>2.2999999999999998</v>
      </c>
      <c r="I138" s="128">
        <v>2.3479999999999999</v>
      </c>
      <c r="J138" s="128">
        <v>2.3479999999999999</v>
      </c>
      <c r="K138" s="128">
        <f t="shared" si="47"/>
        <v>4.8000000000000043E-2</v>
      </c>
      <c r="L138" s="128">
        <f t="shared" si="48"/>
        <v>102.08695652173914</v>
      </c>
      <c r="M138" s="128">
        <f t="shared" si="49"/>
        <v>0</v>
      </c>
      <c r="N138" s="128">
        <f t="shared" si="50"/>
        <v>100</v>
      </c>
      <c r="O138" s="128"/>
      <c r="P138" s="128">
        <f t="shared" si="51"/>
        <v>102.08695652173914</v>
      </c>
      <c r="Q138" s="128">
        <f t="shared" si="52"/>
        <v>2.2999999999999998</v>
      </c>
      <c r="R138" s="128"/>
      <c r="S138" s="128">
        <f>J138/$J$386*100</f>
        <v>2.2164900261718175E-3</v>
      </c>
    </row>
    <row r="139" spans="1:19" ht="69" customHeight="1">
      <c r="A139" s="171" t="s">
        <v>495</v>
      </c>
      <c r="B139" s="127" t="s">
        <v>333</v>
      </c>
      <c r="C139" s="127" t="s">
        <v>341</v>
      </c>
      <c r="D139" s="127" t="s">
        <v>496</v>
      </c>
      <c r="E139" s="127"/>
      <c r="F139" s="127"/>
      <c r="G139" s="132">
        <f>G140+G144</f>
        <v>45.1</v>
      </c>
      <c r="H139" s="132">
        <f>H140+H144</f>
        <v>45.1</v>
      </c>
      <c r="I139" s="132">
        <f>I140+I144</f>
        <v>45.097349999999999</v>
      </c>
      <c r="J139" s="132">
        <f>J140+J144</f>
        <v>45.097349999999999</v>
      </c>
      <c r="K139" s="128">
        <f t="shared" si="47"/>
        <v>-2.6500000000027057E-3</v>
      </c>
      <c r="L139" s="128">
        <f t="shared" si="48"/>
        <v>99.994124168514404</v>
      </c>
      <c r="M139" s="128">
        <f t="shared" si="49"/>
        <v>0</v>
      </c>
      <c r="N139" s="128">
        <f t="shared" si="50"/>
        <v>100</v>
      </c>
      <c r="O139" s="128">
        <f t="shared" ref="O139:O212" si="53">J139/G139*100</f>
        <v>99.994124168514404</v>
      </c>
      <c r="P139" s="128">
        <f t="shared" si="51"/>
        <v>99.994124168514404</v>
      </c>
      <c r="Q139" s="128">
        <f t="shared" si="52"/>
        <v>0</v>
      </c>
      <c r="R139" s="128">
        <f t="shared" ref="R139:R212" si="54">H139/G139*100</f>
        <v>100</v>
      </c>
      <c r="S139" s="128">
        <f>J139/$J$386*100</f>
        <v>4.2571476355102056E-2</v>
      </c>
    </row>
    <row r="140" spans="1:19" ht="77.25" customHeight="1">
      <c r="A140" s="131" t="s">
        <v>419</v>
      </c>
      <c r="B140" s="127" t="s">
        <v>333</v>
      </c>
      <c r="C140" s="127" t="s">
        <v>341</v>
      </c>
      <c r="D140" s="127" t="s">
        <v>496</v>
      </c>
      <c r="E140" s="127" t="s">
        <v>420</v>
      </c>
      <c r="F140" s="127"/>
      <c r="G140" s="132">
        <f>SUM(G141)</f>
        <v>45.1</v>
      </c>
      <c r="H140" s="132">
        <f>SUM(H141)</f>
        <v>38</v>
      </c>
      <c r="I140" s="132">
        <f>SUM(I141)</f>
        <v>37.984349999999999</v>
      </c>
      <c r="J140" s="132">
        <f>SUM(J141)</f>
        <v>37.984349999999999</v>
      </c>
      <c r="K140" s="128">
        <f t="shared" si="47"/>
        <v>-1.565000000000083E-2</v>
      </c>
      <c r="L140" s="128">
        <f t="shared" si="48"/>
        <v>99.95881578947369</v>
      </c>
      <c r="M140" s="128">
        <f t="shared" si="49"/>
        <v>0</v>
      </c>
      <c r="N140" s="128">
        <f t="shared" si="50"/>
        <v>100</v>
      </c>
      <c r="O140" s="128">
        <f t="shared" si="53"/>
        <v>84.222505543237247</v>
      </c>
      <c r="P140" s="128">
        <f t="shared" si="51"/>
        <v>99.95881578947369</v>
      </c>
      <c r="Q140" s="128">
        <f t="shared" si="52"/>
        <v>-7.1000000000000014</v>
      </c>
      <c r="R140" s="128">
        <f t="shared" si="54"/>
        <v>84.257206208425714</v>
      </c>
      <c r="S140" s="128">
        <f>J140/$J$386*100</f>
        <v>3.5856870922325167E-2</v>
      </c>
    </row>
    <row r="141" spans="1:19" ht="44.25" customHeight="1">
      <c r="A141" s="126" t="s">
        <v>421</v>
      </c>
      <c r="B141" s="127" t="s">
        <v>333</v>
      </c>
      <c r="C141" s="127" t="s">
        <v>341</v>
      </c>
      <c r="D141" s="127" t="s">
        <v>496</v>
      </c>
      <c r="E141" s="127" t="s">
        <v>422</v>
      </c>
      <c r="F141" s="127"/>
      <c r="G141" s="132">
        <v>45.1</v>
      </c>
      <c r="H141" s="132">
        <v>38</v>
      </c>
      <c r="I141" s="132">
        <f>I142+I143</f>
        <v>37.984349999999999</v>
      </c>
      <c r="J141" s="132">
        <f>J142+J143</f>
        <v>37.984349999999999</v>
      </c>
      <c r="K141" s="128">
        <f t="shared" si="47"/>
        <v>-1.565000000000083E-2</v>
      </c>
      <c r="L141" s="128">
        <f t="shared" si="48"/>
        <v>99.95881578947369</v>
      </c>
      <c r="M141" s="128">
        <f t="shared" si="49"/>
        <v>0</v>
      </c>
      <c r="N141" s="128">
        <f t="shared" si="50"/>
        <v>100</v>
      </c>
      <c r="O141" s="128">
        <f t="shared" si="53"/>
        <v>84.222505543237247</v>
      </c>
      <c r="P141" s="128">
        <f t="shared" si="51"/>
        <v>99.95881578947369</v>
      </c>
      <c r="Q141" s="128">
        <f t="shared" si="52"/>
        <v>-7.1000000000000014</v>
      </c>
      <c r="R141" s="128">
        <f t="shared" si="54"/>
        <v>84.257206208425714</v>
      </c>
      <c r="S141" s="128">
        <f>J141/$J$386*100</f>
        <v>3.5856870922325167E-2</v>
      </c>
    </row>
    <row r="142" spans="1:19" ht="29.25" customHeight="1">
      <c r="A142" s="126"/>
      <c r="B142" s="127" t="s">
        <v>333</v>
      </c>
      <c r="C142" s="127" t="s">
        <v>341</v>
      </c>
      <c r="D142" s="127" t="s">
        <v>496</v>
      </c>
      <c r="E142" s="127" t="s">
        <v>423</v>
      </c>
      <c r="F142" s="127" t="s">
        <v>424</v>
      </c>
      <c r="G142" s="132"/>
      <c r="H142" s="132"/>
      <c r="I142" s="132">
        <v>30.9</v>
      </c>
      <c r="J142" s="132">
        <v>30.9</v>
      </c>
      <c r="K142" s="128"/>
      <c r="L142" s="128"/>
      <c r="M142" s="128"/>
      <c r="N142" s="128"/>
      <c r="O142" s="128"/>
      <c r="P142" s="128"/>
      <c r="Q142" s="128"/>
      <c r="R142" s="128"/>
      <c r="S142" s="128"/>
    </row>
    <row r="143" spans="1:19" ht="26.25" customHeight="1">
      <c r="A143" s="126"/>
      <c r="B143" s="127" t="s">
        <v>333</v>
      </c>
      <c r="C143" s="127" t="s">
        <v>341</v>
      </c>
      <c r="D143" s="127" t="s">
        <v>496</v>
      </c>
      <c r="E143" s="127" t="s">
        <v>429</v>
      </c>
      <c r="F143" s="127" t="s">
        <v>430</v>
      </c>
      <c r="G143" s="132"/>
      <c r="H143" s="132"/>
      <c r="I143" s="132">
        <v>7.0843499999999997</v>
      </c>
      <c r="J143" s="132">
        <v>7.0843499999999997</v>
      </c>
      <c r="K143" s="128"/>
      <c r="L143" s="128"/>
      <c r="M143" s="128"/>
      <c r="N143" s="128"/>
      <c r="O143" s="128"/>
      <c r="P143" s="128"/>
      <c r="Q143" s="128"/>
      <c r="R143" s="128"/>
      <c r="S143" s="128"/>
    </row>
    <row r="144" spans="1:19" ht="53.25" customHeight="1">
      <c r="A144" s="126" t="s">
        <v>431</v>
      </c>
      <c r="B144" s="127" t="s">
        <v>333</v>
      </c>
      <c r="C144" s="127" t="s">
        <v>341</v>
      </c>
      <c r="D144" s="127" t="s">
        <v>496</v>
      </c>
      <c r="E144" s="169">
        <v>200</v>
      </c>
      <c r="F144" s="169"/>
      <c r="G144" s="128">
        <f>G145</f>
        <v>0</v>
      </c>
      <c r="H144" s="128">
        <f>H145</f>
        <v>7.1</v>
      </c>
      <c r="I144" s="128">
        <f>I145</f>
        <v>7.1130000000000004</v>
      </c>
      <c r="J144" s="128">
        <f>J145</f>
        <v>7.1130000000000004</v>
      </c>
      <c r="K144" s="128">
        <f t="shared" si="47"/>
        <v>1.3000000000000789E-2</v>
      </c>
      <c r="L144" s="128">
        <f t="shared" si="48"/>
        <v>100.1830985915493</v>
      </c>
      <c r="M144" s="128">
        <f t="shared" si="49"/>
        <v>0</v>
      </c>
      <c r="N144" s="128">
        <f t="shared" si="50"/>
        <v>100</v>
      </c>
      <c r="O144" s="128"/>
      <c r="P144" s="128">
        <f t="shared" si="51"/>
        <v>100.1830985915493</v>
      </c>
      <c r="Q144" s="128">
        <f t="shared" si="52"/>
        <v>7.1</v>
      </c>
      <c r="R144" s="128"/>
      <c r="S144" s="128">
        <f t="shared" ref="S144:S154" si="55">J144/$J$386*100</f>
        <v>6.7146054327768909E-3</v>
      </c>
    </row>
    <row r="145" spans="1:19" ht="48.75" customHeight="1">
      <c r="A145" s="170" t="s">
        <v>433</v>
      </c>
      <c r="B145" s="127" t="s">
        <v>333</v>
      </c>
      <c r="C145" s="127" t="s">
        <v>341</v>
      </c>
      <c r="D145" s="127" t="s">
        <v>496</v>
      </c>
      <c r="E145" s="169">
        <v>244</v>
      </c>
      <c r="F145" s="169">
        <v>346</v>
      </c>
      <c r="G145" s="128"/>
      <c r="H145" s="128">
        <v>7.1</v>
      </c>
      <c r="I145" s="128">
        <v>7.1130000000000004</v>
      </c>
      <c r="J145" s="128">
        <v>7.1130000000000004</v>
      </c>
      <c r="K145" s="128">
        <f t="shared" si="47"/>
        <v>1.3000000000000789E-2</v>
      </c>
      <c r="L145" s="128">
        <f t="shared" si="48"/>
        <v>100.1830985915493</v>
      </c>
      <c r="M145" s="128">
        <f t="shared" si="49"/>
        <v>0</v>
      </c>
      <c r="N145" s="128">
        <f t="shared" si="50"/>
        <v>100</v>
      </c>
      <c r="O145" s="128"/>
      <c r="P145" s="128">
        <f t="shared" si="51"/>
        <v>100.1830985915493</v>
      </c>
      <c r="Q145" s="128">
        <f t="shared" si="52"/>
        <v>7.1</v>
      </c>
      <c r="R145" s="128"/>
      <c r="S145" s="128">
        <f t="shared" si="55"/>
        <v>6.7146054327768909E-3</v>
      </c>
    </row>
    <row r="146" spans="1:19" s="122" customFormat="1" ht="57" customHeight="1">
      <c r="A146" s="172" t="s">
        <v>361</v>
      </c>
      <c r="B146" s="124" t="s">
        <v>333</v>
      </c>
      <c r="C146" s="124" t="s">
        <v>334</v>
      </c>
      <c r="D146" s="124"/>
      <c r="E146" s="124"/>
      <c r="F146" s="124"/>
      <c r="G146" s="165">
        <f t="shared" ref="G146:J147" si="56">G147</f>
        <v>134.19999999999999</v>
      </c>
      <c r="H146" s="165">
        <f>H147</f>
        <v>1077.6999999999998</v>
      </c>
      <c r="I146" s="125">
        <f t="shared" si="56"/>
        <v>1077.6850999999999</v>
      </c>
      <c r="J146" s="125">
        <f t="shared" si="56"/>
        <v>1077.6843200000001</v>
      </c>
      <c r="K146" s="125">
        <f t="shared" si="47"/>
        <v>-1.4899999999897773E-2</v>
      </c>
      <c r="L146" s="125">
        <f t="shared" si="48"/>
        <v>99.998617425999825</v>
      </c>
      <c r="M146" s="125">
        <f t="shared" si="49"/>
        <v>-7.7999999984967872E-4</v>
      </c>
      <c r="N146" s="125">
        <f t="shared" si="50"/>
        <v>99.999927622642275</v>
      </c>
      <c r="O146" s="125">
        <f t="shared" si="53"/>
        <v>803.0434575260806</v>
      </c>
      <c r="P146" s="125">
        <f t="shared" si="51"/>
        <v>99.998545049642786</v>
      </c>
      <c r="Q146" s="125">
        <f t="shared" si="52"/>
        <v>943.49999999999977</v>
      </c>
      <c r="R146" s="125">
        <f t="shared" si="54"/>
        <v>803.05514157973175</v>
      </c>
      <c r="S146" s="125">
        <f t="shared" si="55"/>
        <v>1.0173239125390792</v>
      </c>
    </row>
    <row r="147" spans="1:19" ht="38.25" customHeight="1">
      <c r="A147" s="173" t="s">
        <v>413</v>
      </c>
      <c r="B147" s="174" t="s">
        <v>333</v>
      </c>
      <c r="C147" s="174" t="s">
        <v>334</v>
      </c>
      <c r="D147" s="174" t="s">
        <v>414</v>
      </c>
      <c r="E147" s="174"/>
      <c r="F147" s="174"/>
      <c r="G147" s="145">
        <f t="shared" si="56"/>
        <v>134.19999999999999</v>
      </c>
      <c r="H147" s="145">
        <f>H148</f>
        <v>1077.6999999999998</v>
      </c>
      <c r="I147" s="132">
        <f t="shared" si="56"/>
        <v>1077.6850999999999</v>
      </c>
      <c r="J147" s="132">
        <f t="shared" si="56"/>
        <v>1077.6843200000001</v>
      </c>
      <c r="K147" s="128">
        <f t="shared" si="47"/>
        <v>-1.4899999999897773E-2</v>
      </c>
      <c r="L147" s="128">
        <f t="shared" si="48"/>
        <v>99.998617425999825</v>
      </c>
      <c r="M147" s="128">
        <f t="shared" si="49"/>
        <v>-7.7999999984967872E-4</v>
      </c>
      <c r="N147" s="128">
        <f t="shared" si="50"/>
        <v>99.999927622642275</v>
      </c>
      <c r="O147" s="128">
        <f t="shared" si="53"/>
        <v>803.0434575260806</v>
      </c>
      <c r="P147" s="128">
        <f t="shared" si="51"/>
        <v>99.998545049642786</v>
      </c>
      <c r="Q147" s="128">
        <f t="shared" si="52"/>
        <v>943.49999999999977</v>
      </c>
      <c r="R147" s="128">
        <f t="shared" si="54"/>
        <v>803.05514157973175</v>
      </c>
      <c r="S147" s="128">
        <f t="shared" si="55"/>
        <v>1.0173239125390792</v>
      </c>
    </row>
    <row r="148" spans="1:19" ht="70.5" customHeight="1">
      <c r="A148" s="175" t="s">
        <v>497</v>
      </c>
      <c r="B148" s="174" t="s">
        <v>333</v>
      </c>
      <c r="C148" s="174" t="s">
        <v>334</v>
      </c>
      <c r="D148" s="127" t="s">
        <v>498</v>
      </c>
      <c r="E148" s="127"/>
      <c r="F148" s="127"/>
      <c r="G148" s="132">
        <f>G158+G152+G164+G149</f>
        <v>134.19999999999999</v>
      </c>
      <c r="H148" s="132">
        <f>H158+H152+H164+H149</f>
        <v>1077.6999999999998</v>
      </c>
      <c r="I148" s="132">
        <f>I158+I152+I164+I149</f>
        <v>1077.6850999999999</v>
      </c>
      <c r="J148" s="132">
        <f>J158+J152+J164+J149</f>
        <v>1077.6843200000001</v>
      </c>
      <c r="K148" s="128">
        <f t="shared" si="47"/>
        <v>-1.4899999999897773E-2</v>
      </c>
      <c r="L148" s="128">
        <f t="shared" si="48"/>
        <v>99.998617425999825</v>
      </c>
      <c r="M148" s="128">
        <f t="shared" si="49"/>
        <v>-7.7999999984967872E-4</v>
      </c>
      <c r="N148" s="128">
        <f t="shared" si="50"/>
        <v>99.999927622642275</v>
      </c>
      <c r="O148" s="128">
        <f t="shared" si="53"/>
        <v>803.0434575260806</v>
      </c>
      <c r="P148" s="128">
        <f t="shared" si="51"/>
        <v>99.998545049642786</v>
      </c>
      <c r="Q148" s="128">
        <f t="shared" si="52"/>
        <v>943.49999999999977</v>
      </c>
      <c r="R148" s="128">
        <f t="shared" si="54"/>
        <v>803.05514157973175</v>
      </c>
      <c r="S148" s="128">
        <f t="shared" si="55"/>
        <v>1.0173239125390792</v>
      </c>
    </row>
    <row r="149" spans="1:19" ht="26.25" customHeight="1">
      <c r="A149" s="176" t="s">
        <v>499</v>
      </c>
      <c r="B149" s="174" t="s">
        <v>333</v>
      </c>
      <c r="C149" s="174" t="s">
        <v>334</v>
      </c>
      <c r="D149" s="127" t="s">
        <v>500</v>
      </c>
      <c r="E149" s="127"/>
      <c r="F149" s="127"/>
      <c r="G149" s="132">
        <f t="shared" ref="G149:J150" si="57">G150</f>
        <v>0</v>
      </c>
      <c r="H149" s="132">
        <f>H150</f>
        <v>300.89999999999998</v>
      </c>
      <c r="I149" s="132">
        <f t="shared" si="57"/>
        <v>300.92</v>
      </c>
      <c r="J149" s="132">
        <f t="shared" si="57"/>
        <v>300.91932000000003</v>
      </c>
      <c r="K149" s="128">
        <f t="shared" si="47"/>
        <v>2.0000000000038654E-2</v>
      </c>
      <c r="L149" s="128">
        <f t="shared" si="48"/>
        <v>100.00664672648722</v>
      </c>
      <c r="M149" s="128">
        <f t="shared" si="49"/>
        <v>-6.7999999998846761E-4</v>
      </c>
      <c r="N149" s="128">
        <f t="shared" si="50"/>
        <v>99.999774026319287</v>
      </c>
      <c r="O149" s="128"/>
      <c r="P149" s="128">
        <f t="shared" si="51"/>
        <v>100.00642073778666</v>
      </c>
      <c r="Q149" s="128">
        <f t="shared" si="52"/>
        <v>300.89999999999998</v>
      </c>
      <c r="R149" s="128"/>
      <c r="S149" s="128">
        <f t="shared" si="55"/>
        <v>0.28406502191754929</v>
      </c>
    </row>
    <row r="150" spans="1:19" ht="48.75" customHeight="1">
      <c r="A150" s="126" t="s">
        <v>431</v>
      </c>
      <c r="B150" s="174" t="s">
        <v>333</v>
      </c>
      <c r="C150" s="174" t="s">
        <v>334</v>
      </c>
      <c r="D150" s="127" t="s">
        <v>500</v>
      </c>
      <c r="E150" s="127" t="s">
        <v>432</v>
      </c>
      <c r="F150" s="127"/>
      <c r="G150" s="132">
        <f t="shared" si="57"/>
        <v>0</v>
      </c>
      <c r="H150" s="132">
        <f>H151</f>
        <v>300.89999999999998</v>
      </c>
      <c r="I150" s="132">
        <f t="shared" si="57"/>
        <v>300.92</v>
      </c>
      <c r="J150" s="132">
        <f t="shared" si="57"/>
        <v>300.91932000000003</v>
      </c>
      <c r="K150" s="128">
        <f t="shared" si="47"/>
        <v>2.0000000000038654E-2</v>
      </c>
      <c r="L150" s="128">
        <f t="shared" si="48"/>
        <v>100.00664672648722</v>
      </c>
      <c r="M150" s="128">
        <f t="shared" si="49"/>
        <v>-6.7999999998846761E-4</v>
      </c>
      <c r="N150" s="128">
        <f t="shared" si="50"/>
        <v>99.999774026319287</v>
      </c>
      <c r="O150" s="128"/>
      <c r="P150" s="128">
        <f t="shared" si="51"/>
        <v>100.00642073778666</v>
      </c>
      <c r="Q150" s="128">
        <f t="shared" si="52"/>
        <v>300.89999999999998</v>
      </c>
      <c r="R150" s="128"/>
      <c r="S150" s="128">
        <f t="shared" si="55"/>
        <v>0.28406502191754929</v>
      </c>
    </row>
    <row r="151" spans="1:19" ht="49.5" customHeight="1">
      <c r="A151" s="126" t="s">
        <v>433</v>
      </c>
      <c r="B151" s="174" t="s">
        <v>333</v>
      </c>
      <c r="C151" s="174" t="s">
        <v>334</v>
      </c>
      <c r="D151" s="127" t="s">
        <v>500</v>
      </c>
      <c r="E151" s="127" t="s">
        <v>434</v>
      </c>
      <c r="F151" s="127" t="s">
        <v>428</v>
      </c>
      <c r="G151" s="132"/>
      <c r="H151" s="132">
        <v>300.89999999999998</v>
      </c>
      <c r="I151" s="132">
        <v>300.92</v>
      </c>
      <c r="J151" s="132">
        <v>300.91932000000003</v>
      </c>
      <c r="K151" s="128">
        <f t="shared" si="47"/>
        <v>2.0000000000038654E-2</v>
      </c>
      <c r="L151" s="128">
        <f t="shared" si="48"/>
        <v>100.00664672648722</v>
      </c>
      <c r="M151" s="128">
        <f t="shared" si="49"/>
        <v>-6.7999999998846761E-4</v>
      </c>
      <c r="N151" s="128">
        <f t="shared" si="50"/>
        <v>99.999774026319287</v>
      </c>
      <c r="O151" s="128"/>
      <c r="P151" s="128">
        <f t="shared" si="51"/>
        <v>100.00642073778666</v>
      </c>
      <c r="Q151" s="128">
        <f t="shared" si="52"/>
        <v>300.89999999999998</v>
      </c>
      <c r="R151" s="128"/>
      <c r="S151" s="128">
        <f t="shared" si="55"/>
        <v>0.28406502191754929</v>
      </c>
    </row>
    <row r="152" spans="1:19" ht="39" customHeight="1">
      <c r="A152" s="176" t="s">
        <v>501</v>
      </c>
      <c r="B152" s="174" t="s">
        <v>333</v>
      </c>
      <c r="C152" s="174" t="s">
        <v>334</v>
      </c>
      <c r="D152" s="127" t="s">
        <v>502</v>
      </c>
      <c r="E152" s="127"/>
      <c r="F152" s="127"/>
      <c r="G152" s="132">
        <f t="shared" ref="G152:J153" si="58">G153</f>
        <v>0</v>
      </c>
      <c r="H152" s="132">
        <f>H153</f>
        <v>152.30000000000001</v>
      </c>
      <c r="I152" s="132">
        <f t="shared" si="58"/>
        <v>152.29999999999998</v>
      </c>
      <c r="J152" s="132">
        <f t="shared" si="58"/>
        <v>152.29999999999998</v>
      </c>
      <c r="K152" s="128">
        <f t="shared" si="47"/>
        <v>0</v>
      </c>
      <c r="L152" s="128">
        <f t="shared" si="48"/>
        <v>99.999999999999972</v>
      </c>
      <c r="M152" s="128">
        <f t="shared" si="49"/>
        <v>0</v>
      </c>
      <c r="N152" s="128">
        <f t="shared" si="50"/>
        <v>100</v>
      </c>
      <c r="O152" s="128"/>
      <c r="P152" s="128">
        <f t="shared" si="51"/>
        <v>99.999999999999972</v>
      </c>
      <c r="Q152" s="128">
        <f t="shared" si="52"/>
        <v>152.30000000000001</v>
      </c>
      <c r="R152" s="128"/>
      <c r="S152" s="128">
        <f t="shared" si="55"/>
        <v>0.14376977469589769</v>
      </c>
    </row>
    <row r="153" spans="1:19" ht="48" customHeight="1">
      <c r="A153" s="126" t="s">
        <v>431</v>
      </c>
      <c r="B153" s="174" t="s">
        <v>333</v>
      </c>
      <c r="C153" s="174" t="s">
        <v>334</v>
      </c>
      <c r="D153" s="127" t="s">
        <v>502</v>
      </c>
      <c r="E153" s="127" t="s">
        <v>432</v>
      </c>
      <c r="F153" s="127"/>
      <c r="G153" s="132">
        <f t="shared" si="58"/>
        <v>0</v>
      </c>
      <c r="H153" s="132">
        <f>H154</f>
        <v>152.30000000000001</v>
      </c>
      <c r="I153" s="132">
        <f t="shared" si="58"/>
        <v>152.29999999999998</v>
      </c>
      <c r="J153" s="132">
        <f t="shared" si="58"/>
        <v>152.29999999999998</v>
      </c>
      <c r="K153" s="128">
        <f t="shared" si="47"/>
        <v>0</v>
      </c>
      <c r="L153" s="128">
        <f t="shared" si="48"/>
        <v>99.999999999999972</v>
      </c>
      <c r="M153" s="128">
        <f t="shared" si="49"/>
        <v>0</v>
      </c>
      <c r="N153" s="128">
        <f t="shared" si="50"/>
        <v>100</v>
      </c>
      <c r="O153" s="128"/>
      <c r="P153" s="128">
        <f t="shared" si="51"/>
        <v>99.999999999999972</v>
      </c>
      <c r="Q153" s="128">
        <f t="shared" si="52"/>
        <v>152.30000000000001</v>
      </c>
      <c r="R153" s="128"/>
      <c r="S153" s="128">
        <f t="shared" si="55"/>
        <v>0.14376977469589769</v>
      </c>
    </row>
    <row r="154" spans="1:19" ht="49.5" customHeight="1">
      <c r="A154" s="126" t="s">
        <v>433</v>
      </c>
      <c r="B154" s="174" t="s">
        <v>333</v>
      </c>
      <c r="C154" s="174" t="s">
        <v>334</v>
      </c>
      <c r="D154" s="127" t="s">
        <v>502</v>
      </c>
      <c r="E154" s="127" t="s">
        <v>450</v>
      </c>
      <c r="F154" s="127"/>
      <c r="G154" s="132"/>
      <c r="H154" s="132">
        <v>152.30000000000001</v>
      </c>
      <c r="I154" s="132">
        <f>I155+I156+I157</f>
        <v>152.29999999999998</v>
      </c>
      <c r="J154" s="132">
        <f>J155+J156+J157</f>
        <v>152.29999999999998</v>
      </c>
      <c r="K154" s="128">
        <f t="shared" si="47"/>
        <v>0</v>
      </c>
      <c r="L154" s="128">
        <f t="shared" si="48"/>
        <v>99.999999999999972</v>
      </c>
      <c r="M154" s="128">
        <f>J154-I154</f>
        <v>0</v>
      </c>
      <c r="N154" s="128">
        <f t="shared" si="50"/>
        <v>100</v>
      </c>
      <c r="O154" s="128"/>
      <c r="P154" s="128">
        <f t="shared" si="51"/>
        <v>99.999999999999972</v>
      </c>
      <c r="Q154" s="128">
        <f t="shared" si="52"/>
        <v>152.30000000000001</v>
      </c>
      <c r="R154" s="128"/>
      <c r="S154" s="128">
        <f t="shared" si="55"/>
        <v>0.14376977469589769</v>
      </c>
    </row>
    <row r="155" spans="1:19" ht="24.75" customHeight="1">
      <c r="A155" s="126"/>
      <c r="B155" s="174" t="s">
        <v>333</v>
      </c>
      <c r="C155" s="174" t="s">
        <v>334</v>
      </c>
      <c r="D155" s="127" t="s">
        <v>502</v>
      </c>
      <c r="E155" s="127" t="s">
        <v>434</v>
      </c>
      <c r="F155" s="127" t="s">
        <v>454</v>
      </c>
      <c r="G155" s="132"/>
      <c r="H155" s="132"/>
      <c r="I155" s="132">
        <v>122.3</v>
      </c>
      <c r="J155" s="132">
        <v>122.3</v>
      </c>
      <c r="K155" s="128"/>
      <c r="L155" s="128"/>
      <c r="M155" s="128">
        <f>J155-I155</f>
        <v>0</v>
      </c>
      <c r="N155" s="128"/>
      <c r="O155" s="128"/>
      <c r="P155" s="128"/>
      <c r="Q155" s="128"/>
      <c r="R155" s="128"/>
      <c r="S155" s="128"/>
    </row>
    <row r="156" spans="1:19" ht="29.25" customHeight="1">
      <c r="A156" s="126"/>
      <c r="B156" s="174" t="s">
        <v>333</v>
      </c>
      <c r="C156" s="174" t="s">
        <v>334</v>
      </c>
      <c r="D156" s="127" t="s">
        <v>502</v>
      </c>
      <c r="E156" s="127" t="s">
        <v>434</v>
      </c>
      <c r="F156" s="127" t="s">
        <v>503</v>
      </c>
      <c r="G156" s="132"/>
      <c r="H156" s="132"/>
      <c r="I156" s="132">
        <v>13.507999999999999</v>
      </c>
      <c r="J156" s="132">
        <v>13.507999999999999</v>
      </c>
      <c r="K156" s="128"/>
      <c r="L156" s="128"/>
      <c r="M156" s="128">
        <f>J156-I156</f>
        <v>0</v>
      </c>
      <c r="N156" s="128"/>
      <c r="O156" s="128"/>
      <c r="P156" s="128"/>
      <c r="Q156" s="128"/>
      <c r="R156" s="128"/>
      <c r="S156" s="128"/>
    </row>
    <row r="157" spans="1:19" ht="24.75" customHeight="1">
      <c r="A157" s="126"/>
      <c r="B157" s="174" t="s">
        <v>333</v>
      </c>
      <c r="C157" s="174" t="s">
        <v>334</v>
      </c>
      <c r="D157" s="127" t="s">
        <v>502</v>
      </c>
      <c r="E157" s="127" t="s">
        <v>434</v>
      </c>
      <c r="F157" s="127" t="s">
        <v>455</v>
      </c>
      <c r="G157" s="132"/>
      <c r="H157" s="132"/>
      <c r="I157" s="132">
        <v>16.492000000000001</v>
      </c>
      <c r="J157" s="132">
        <v>16.492000000000001</v>
      </c>
      <c r="K157" s="128"/>
      <c r="L157" s="128"/>
      <c r="M157" s="128">
        <f>J157-I157</f>
        <v>0</v>
      </c>
      <c r="N157" s="128"/>
      <c r="O157" s="128"/>
      <c r="P157" s="128"/>
      <c r="Q157" s="128"/>
      <c r="R157" s="128"/>
      <c r="S157" s="128"/>
    </row>
    <row r="158" spans="1:19" ht="24.75" customHeight="1">
      <c r="A158" s="177" t="s">
        <v>504</v>
      </c>
      <c r="B158" s="174" t="s">
        <v>333</v>
      </c>
      <c r="C158" s="174" t="s">
        <v>334</v>
      </c>
      <c r="D158" s="127" t="s">
        <v>505</v>
      </c>
      <c r="E158" s="127"/>
      <c r="F158" s="127"/>
      <c r="G158" s="145">
        <f t="shared" ref="G158:J159" si="59">SUM(G159)</f>
        <v>134.19999999999999</v>
      </c>
      <c r="H158" s="145">
        <f>SUM(H159)</f>
        <v>319.5</v>
      </c>
      <c r="I158" s="132">
        <f t="shared" si="59"/>
        <v>319.46510000000001</v>
      </c>
      <c r="J158" s="132">
        <f t="shared" si="59"/>
        <v>319.46500000000003</v>
      </c>
      <c r="K158" s="128">
        <f t="shared" si="47"/>
        <v>-3.489999999999327E-2</v>
      </c>
      <c r="L158" s="128">
        <f t="shared" si="48"/>
        <v>99.989076682316124</v>
      </c>
      <c r="M158" s="128">
        <f t="shared" si="49"/>
        <v>-9.9999999974897946E-5</v>
      </c>
      <c r="N158" s="128">
        <f t="shared" si="50"/>
        <v>99.999968697676223</v>
      </c>
      <c r="O158" s="128">
        <f t="shared" si="53"/>
        <v>238.05141579731747</v>
      </c>
      <c r="P158" s="128">
        <f t="shared" si="51"/>
        <v>99.989045383411593</v>
      </c>
      <c r="Q158" s="128">
        <f t="shared" si="52"/>
        <v>185.3</v>
      </c>
      <c r="R158" s="128">
        <f t="shared" si="54"/>
        <v>238.07749627421759</v>
      </c>
      <c r="S158" s="128">
        <f>J158/$J$386*100</f>
        <v>0.30157197027724864</v>
      </c>
    </row>
    <row r="159" spans="1:19" ht="48.75" customHeight="1">
      <c r="A159" s="126" t="s">
        <v>431</v>
      </c>
      <c r="B159" s="174" t="s">
        <v>333</v>
      </c>
      <c r="C159" s="174" t="s">
        <v>334</v>
      </c>
      <c r="D159" s="127" t="s">
        <v>505</v>
      </c>
      <c r="E159" s="127" t="s">
        <v>432</v>
      </c>
      <c r="F159" s="127"/>
      <c r="G159" s="145">
        <f t="shared" si="59"/>
        <v>134.19999999999999</v>
      </c>
      <c r="H159" s="145">
        <f>SUM(H160)</f>
        <v>319.5</v>
      </c>
      <c r="I159" s="132">
        <f t="shared" si="59"/>
        <v>319.46510000000001</v>
      </c>
      <c r="J159" s="132">
        <f t="shared" si="59"/>
        <v>319.46500000000003</v>
      </c>
      <c r="K159" s="128">
        <f t="shared" si="47"/>
        <v>-3.489999999999327E-2</v>
      </c>
      <c r="L159" s="128">
        <f t="shared" si="48"/>
        <v>99.989076682316124</v>
      </c>
      <c r="M159" s="128">
        <f t="shared" si="49"/>
        <v>-9.9999999974897946E-5</v>
      </c>
      <c r="N159" s="128">
        <f t="shared" si="50"/>
        <v>99.999968697676223</v>
      </c>
      <c r="O159" s="128">
        <f t="shared" si="53"/>
        <v>238.05141579731747</v>
      </c>
      <c r="P159" s="128">
        <f t="shared" si="51"/>
        <v>99.989045383411593</v>
      </c>
      <c r="Q159" s="128">
        <f t="shared" si="52"/>
        <v>185.3</v>
      </c>
      <c r="R159" s="128">
        <f t="shared" si="54"/>
        <v>238.07749627421759</v>
      </c>
      <c r="S159" s="128">
        <f>J159/$J$386*100</f>
        <v>0.30157197027724864</v>
      </c>
    </row>
    <row r="160" spans="1:19" ht="48" customHeight="1">
      <c r="A160" s="126" t="s">
        <v>433</v>
      </c>
      <c r="B160" s="174" t="s">
        <v>333</v>
      </c>
      <c r="C160" s="174" t="s">
        <v>334</v>
      </c>
      <c r="D160" s="127" t="s">
        <v>505</v>
      </c>
      <c r="E160" s="127" t="s">
        <v>450</v>
      </c>
      <c r="F160" s="127"/>
      <c r="G160" s="145">
        <v>134.19999999999999</v>
      </c>
      <c r="H160" s="145">
        <v>319.5</v>
      </c>
      <c r="I160" s="132">
        <f>I161+I162+I163</f>
        <v>319.46510000000001</v>
      </c>
      <c r="J160" s="132">
        <f>J161+J162+J163</f>
        <v>319.46500000000003</v>
      </c>
      <c r="K160" s="128">
        <f t="shared" si="47"/>
        <v>-3.489999999999327E-2</v>
      </c>
      <c r="L160" s="128">
        <f t="shared" si="48"/>
        <v>99.989076682316124</v>
      </c>
      <c r="M160" s="128">
        <f t="shared" si="49"/>
        <v>-9.9999999974897946E-5</v>
      </c>
      <c r="N160" s="128">
        <f t="shared" si="50"/>
        <v>99.999968697676223</v>
      </c>
      <c r="O160" s="128">
        <f t="shared" si="53"/>
        <v>238.05141579731747</v>
      </c>
      <c r="P160" s="128">
        <f t="shared" si="51"/>
        <v>99.989045383411593</v>
      </c>
      <c r="Q160" s="128">
        <f t="shared" si="52"/>
        <v>185.3</v>
      </c>
      <c r="R160" s="128">
        <f t="shared" si="54"/>
        <v>238.07749627421759</v>
      </c>
      <c r="S160" s="128">
        <f>J160/$J$386*100</f>
        <v>0.30157197027724864</v>
      </c>
    </row>
    <row r="161" spans="1:19" ht="21.75" customHeight="1">
      <c r="A161" s="126"/>
      <c r="B161" s="174" t="s">
        <v>333</v>
      </c>
      <c r="C161" s="174" t="s">
        <v>334</v>
      </c>
      <c r="D161" s="127" t="s">
        <v>505</v>
      </c>
      <c r="E161" s="127" t="s">
        <v>434</v>
      </c>
      <c r="F161" s="127" t="s">
        <v>506</v>
      </c>
      <c r="G161" s="145"/>
      <c r="H161" s="145"/>
      <c r="I161" s="132">
        <v>18</v>
      </c>
      <c r="J161" s="132">
        <v>18</v>
      </c>
      <c r="K161" s="128"/>
      <c r="L161" s="128"/>
      <c r="M161" s="128"/>
      <c r="N161" s="128"/>
      <c r="O161" s="128"/>
      <c r="P161" s="128"/>
      <c r="Q161" s="128"/>
      <c r="R161" s="128"/>
      <c r="S161" s="128"/>
    </row>
    <row r="162" spans="1:19" ht="26.25" customHeight="1">
      <c r="A162" s="126"/>
      <c r="B162" s="174" t="s">
        <v>333</v>
      </c>
      <c r="C162" s="174" t="s">
        <v>334</v>
      </c>
      <c r="D162" s="127" t="s">
        <v>505</v>
      </c>
      <c r="E162" s="127" t="s">
        <v>434</v>
      </c>
      <c r="F162" s="127" t="s">
        <v>428</v>
      </c>
      <c r="G162" s="145"/>
      <c r="H162" s="145"/>
      <c r="I162" s="132">
        <v>250</v>
      </c>
      <c r="J162" s="132">
        <v>250</v>
      </c>
      <c r="K162" s="128"/>
      <c r="L162" s="128"/>
      <c r="M162" s="128"/>
      <c r="N162" s="128"/>
      <c r="O162" s="128"/>
      <c r="P162" s="128"/>
      <c r="Q162" s="128"/>
      <c r="R162" s="128"/>
      <c r="S162" s="128"/>
    </row>
    <row r="163" spans="1:19" ht="23.25" customHeight="1">
      <c r="A163" s="126"/>
      <c r="B163" s="174" t="s">
        <v>333</v>
      </c>
      <c r="C163" s="174" t="s">
        <v>334</v>
      </c>
      <c r="D163" s="127" t="s">
        <v>505</v>
      </c>
      <c r="E163" s="127" t="s">
        <v>507</v>
      </c>
      <c r="F163" s="127" t="s">
        <v>508</v>
      </c>
      <c r="G163" s="145"/>
      <c r="H163" s="145"/>
      <c r="I163" s="132">
        <v>51.4651</v>
      </c>
      <c r="J163" s="132">
        <v>51.465000000000003</v>
      </c>
      <c r="K163" s="128"/>
      <c r="L163" s="128"/>
      <c r="M163" s="128"/>
      <c r="N163" s="128"/>
      <c r="O163" s="128"/>
      <c r="P163" s="128"/>
      <c r="Q163" s="128"/>
      <c r="R163" s="128"/>
      <c r="S163" s="128"/>
    </row>
    <row r="164" spans="1:19" ht="28.5" customHeight="1">
      <c r="A164" s="126" t="s">
        <v>456</v>
      </c>
      <c r="B164" s="174" t="s">
        <v>333</v>
      </c>
      <c r="C164" s="174" t="s">
        <v>334</v>
      </c>
      <c r="D164" s="127" t="s">
        <v>505</v>
      </c>
      <c r="E164" s="127" t="s">
        <v>457</v>
      </c>
      <c r="F164" s="127"/>
      <c r="G164" s="132">
        <f>G165</f>
        <v>0</v>
      </c>
      <c r="H164" s="132">
        <f>H165</f>
        <v>305</v>
      </c>
      <c r="I164" s="132">
        <f>I165</f>
        <v>305</v>
      </c>
      <c r="J164" s="132">
        <f>J165</f>
        <v>305</v>
      </c>
      <c r="K164" s="128">
        <f t="shared" si="47"/>
        <v>0</v>
      </c>
      <c r="L164" s="128">
        <f t="shared" si="48"/>
        <v>100</v>
      </c>
      <c r="M164" s="128">
        <f t="shared" si="49"/>
        <v>0</v>
      </c>
      <c r="N164" s="128">
        <f t="shared" si="50"/>
        <v>100</v>
      </c>
      <c r="O164" s="128"/>
      <c r="P164" s="128">
        <f t="shared" si="51"/>
        <v>100</v>
      </c>
      <c r="Q164" s="128">
        <f t="shared" si="52"/>
        <v>305</v>
      </c>
      <c r="R164" s="128"/>
      <c r="S164" s="128">
        <f>J164/$J$386*100</f>
        <v>0.2879171456483835</v>
      </c>
    </row>
    <row r="165" spans="1:19" ht="28.5" customHeight="1">
      <c r="A165" s="126" t="s">
        <v>461</v>
      </c>
      <c r="B165" s="174" t="s">
        <v>333</v>
      </c>
      <c r="C165" s="174" t="s">
        <v>334</v>
      </c>
      <c r="D165" s="127" t="s">
        <v>505</v>
      </c>
      <c r="E165" s="127" t="s">
        <v>509</v>
      </c>
      <c r="F165" s="127"/>
      <c r="G165" s="132"/>
      <c r="H165" s="132">
        <v>305</v>
      </c>
      <c r="I165" s="132">
        <f>I166+I167</f>
        <v>305</v>
      </c>
      <c r="J165" s="132">
        <f>J166+J167</f>
        <v>305</v>
      </c>
      <c r="K165" s="128">
        <f t="shared" si="47"/>
        <v>0</v>
      </c>
      <c r="L165" s="128">
        <f t="shared" si="48"/>
        <v>100</v>
      </c>
      <c r="M165" s="128">
        <f t="shared" si="49"/>
        <v>0</v>
      </c>
      <c r="N165" s="128">
        <f t="shared" si="50"/>
        <v>100</v>
      </c>
      <c r="O165" s="128"/>
      <c r="P165" s="128">
        <f t="shared" si="51"/>
        <v>100</v>
      </c>
      <c r="Q165" s="128">
        <f t="shared" si="52"/>
        <v>305</v>
      </c>
      <c r="R165" s="128"/>
      <c r="S165" s="128">
        <f>J165/$J$386*100</f>
        <v>0.2879171456483835</v>
      </c>
    </row>
    <row r="166" spans="1:19" ht="28.5" customHeight="1">
      <c r="A166" s="126"/>
      <c r="B166" s="174" t="s">
        <v>333</v>
      </c>
      <c r="C166" s="174" t="s">
        <v>334</v>
      </c>
      <c r="D166" s="127" t="s">
        <v>505</v>
      </c>
      <c r="E166" s="127" t="s">
        <v>462</v>
      </c>
      <c r="F166" s="127" t="s">
        <v>480</v>
      </c>
      <c r="G166" s="132"/>
      <c r="H166" s="132"/>
      <c r="I166" s="132">
        <v>20</v>
      </c>
      <c r="J166" s="132">
        <v>20</v>
      </c>
      <c r="K166" s="128"/>
      <c r="L166" s="128"/>
      <c r="M166" s="128"/>
      <c r="N166" s="128"/>
      <c r="O166" s="128"/>
      <c r="P166" s="128"/>
      <c r="Q166" s="128"/>
      <c r="R166" s="128"/>
      <c r="S166" s="128"/>
    </row>
    <row r="167" spans="1:19" ht="28.5" customHeight="1">
      <c r="A167" s="126"/>
      <c r="B167" s="174" t="s">
        <v>333</v>
      </c>
      <c r="C167" s="174" t="s">
        <v>334</v>
      </c>
      <c r="D167" s="127" t="s">
        <v>505</v>
      </c>
      <c r="E167" s="127" t="s">
        <v>462</v>
      </c>
      <c r="F167" s="127" t="s">
        <v>510</v>
      </c>
      <c r="G167" s="132"/>
      <c r="H167" s="132"/>
      <c r="I167" s="132">
        <v>285</v>
      </c>
      <c r="J167" s="132">
        <v>285</v>
      </c>
      <c r="K167" s="128"/>
      <c r="L167" s="128"/>
      <c r="M167" s="128"/>
      <c r="N167" s="128"/>
      <c r="O167" s="128"/>
      <c r="P167" s="128"/>
      <c r="Q167" s="128"/>
      <c r="R167" s="128"/>
      <c r="S167" s="128"/>
    </row>
    <row r="168" spans="1:19" s="122" customFormat="1" ht="47.25" customHeight="1">
      <c r="A168" s="178" t="s">
        <v>362</v>
      </c>
      <c r="B168" s="124" t="s">
        <v>333</v>
      </c>
      <c r="C168" s="124" t="s">
        <v>363</v>
      </c>
      <c r="D168" s="124"/>
      <c r="E168" s="124"/>
      <c r="F168" s="124"/>
      <c r="G168" s="125">
        <f>G169</f>
        <v>53</v>
      </c>
      <c r="H168" s="125">
        <f>H169</f>
        <v>53</v>
      </c>
      <c r="I168" s="125">
        <f>I169</f>
        <v>52.999999999999993</v>
      </c>
      <c r="J168" s="125">
        <f>J169</f>
        <v>52.999999999999993</v>
      </c>
      <c r="K168" s="125">
        <f t="shared" si="47"/>
        <v>0</v>
      </c>
      <c r="L168" s="125">
        <f t="shared" si="48"/>
        <v>99.999999999999986</v>
      </c>
      <c r="M168" s="125">
        <f t="shared" si="49"/>
        <v>0</v>
      </c>
      <c r="N168" s="125">
        <f t="shared" si="50"/>
        <v>100</v>
      </c>
      <c r="O168" s="125">
        <f t="shared" si="53"/>
        <v>99.999999999999986</v>
      </c>
      <c r="P168" s="125">
        <f t="shared" si="51"/>
        <v>99.999999999999986</v>
      </c>
      <c r="Q168" s="125">
        <f t="shared" si="52"/>
        <v>0</v>
      </c>
      <c r="R168" s="125">
        <f t="shared" si="54"/>
        <v>100</v>
      </c>
      <c r="S168" s="125">
        <f t="shared" ref="S168:S217" si="60">J168/$J$386*100</f>
        <v>5.003150399791581E-2</v>
      </c>
    </row>
    <row r="169" spans="1:19" ht="68.25" customHeight="1">
      <c r="A169" s="179" t="s">
        <v>511</v>
      </c>
      <c r="B169" s="180">
        <v>3</v>
      </c>
      <c r="C169" s="180">
        <v>14</v>
      </c>
      <c r="D169" s="181" t="s">
        <v>512</v>
      </c>
      <c r="E169" s="146"/>
      <c r="F169" s="146"/>
      <c r="G169" s="132">
        <f>SUM(G170)</f>
        <v>53</v>
      </c>
      <c r="H169" s="132">
        <f>SUM(H170)</f>
        <v>53</v>
      </c>
      <c r="I169" s="132">
        <f>SUM(I170)</f>
        <v>52.999999999999993</v>
      </c>
      <c r="J169" s="132">
        <f>SUM(J170)</f>
        <v>52.999999999999993</v>
      </c>
      <c r="K169" s="128">
        <f t="shared" si="47"/>
        <v>0</v>
      </c>
      <c r="L169" s="128">
        <f t="shared" si="48"/>
        <v>99.999999999999986</v>
      </c>
      <c r="M169" s="128">
        <f t="shared" si="49"/>
        <v>0</v>
      </c>
      <c r="N169" s="128">
        <f t="shared" si="50"/>
        <v>100</v>
      </c>
      <c r="O169" s="128">
        <f t="shared" si="53"/>
        <v>99.999999999999986</v>
      </c>
      <c r="P169" s="128">
        <f t="shared" si="51"/>
        <v>99.999999999999986</v>
      </c>
      <c r="Q169" s="128">
        <f t="shared" si="52"/>
        <v>0</v>
      </c>
      <c r="R169" s="128">
        <f t="shared" si="54"/>
        <v>100</v>
      </c>
      <c r="S169" s="128">
        <f t="shared" si="60"/>
        <v>5.003150399791581E-2</v>
      </c>
    </row>
    <row r="170" spans="1:19" ht="41.25" customHeight="1">
      <c r="A170" s="126" t="s">
        <v>513</v>
      </c>
      <c r="B170" s="180">
        <v>3</v>
      </c>
      <c r="C170" s="180">
        <v>14</v>
      </c>
      <c r="D170" s="181" t="s">
        <v>514</v>
      </c>
      <c r="E170" s="146"/>
      <c r="F170" s="146"/>
      <c r="G170" s="132">
        <f>SUM(G171)+G176</f>
        <v>53</v>
      </c>
      <c r="H170" s="132">
        <f>SUM(H171)+H176</f>
        <v>53</v>
      </c>
      <c r="I170" s="132">
        <f>SUM(I171)+I176</f>
        <v>52.999999999999993</v>
      </c>
      <c r="J170" s="132">
        <f>SUM(J171)+J176</f>
        <v>52.999999999999993</v>
      </c>
      <c r="K170" s="128">
        <f t="shared" si="47"/>
        <v>0</v>
      </c>
      <c r="L170" s="128">
        <f t="shared" si="48"/>
        <v>99.999999999999986</v>
      </c>
      <c r="M170" s="128">
        <f t="shared" si="49"/>
        <v>0</v>
      </c>
      <c r="N170" s="128">
        <f t="shared" si="50"/>
        <v>100</v>
      </c>
      <c r="O170" s="128">
        <f t="shared" si="53"/>
        <v>99.999999999999986</v>
      </c>
      <c r="P170" s="128">
        <f t="shared" si="51"/>
        <v>99.999999999999986</v>
      </c>
      <c r="Q170" s="128">
        <f t="shared" si="52"/>
        <v>0</v>
      </c>
      <c r="R170" s="128">
        <f t="shared" si="54"/>
        <v>100</v>
      </c>
      <c r="S170" s="128">
        <f t="shared" si="60"/>
        <v>5.003150399791581E-2</v>
      </c>
    </row>
    <row r="171" spans="1:19" ht="38.25" customHeight="1">
      <c r="A171" s="182" t="s">
        <v>515</v>
      </c>
      <c r="B171" s="183" t="s">
        <v>333</v>
      </c>
      <c r="C171" s="180">
        <v>14</v>
      </c>
      <c r="D171" s="127" t="s">
        <v>516</v>
      </c>
      <c r="E171" s="146"/>
      <c r="F171" s="146"/>
      <c r="G171" s="184">
        <f>SUM(G174+G172)</f>
        <v>37.1</v>
      </c>
      <c r="H171" s="184">
        <f>SUM(H174+H172)</f>
        <v>37.1</v>
      </c>
      <c r="I171" s="184">
        <f>SUM(I174+I172)</f>
        <v>37.099999999999994</v>
      </c>
      <c r="J171" s="184">
        <f>SUM(J174+J172)</f>
        <v>37.099999999999994</v>
      </c>
      <c r="K171" s="128">
        <f t="shared" si="47"/>
        <v>0</v>
      </c>
      <c r="L171" s="128">
        <f t="shared" si="48"/>
        <v>99.999999999999972</v>
      </c>
      <c r="M171" s="128">
        <f t="shared" si="49"/>
        <v>0</v>
      </c>
      <c r="N171" s="128">
        <f t="shared" si="50"/>
        <v>100</v>
      </c>
      <c r="O171" s="128">
        <f t="shared" si="53"/>
        <v>99.999999999999972</v>
      </c>
      <c r="P171" s="128">
        <f t="shared" si="51"/>
        <v>99.999999999999972</v>
      </c>
      <c r="Q171" s="128">
        <f t="shared" si="52"/>
        <v>0</v>
      </c>
      <c r="R171" s="128">
        <f t="shared" si="54"/>
        <v>100</v>
      </c>
      <c r="S171" s="128">
        <f t="shared" si="60"/>
        <v>3.5022052798541072E-2</v>
      </c>
    </row>
    <row r="172" spans="1:19" ht="77.25" customHeight="1">
      <c r="A172" s="131" t="s">
        <v>419</v>
      </c>
      <c r="B172" s="183" t="s">
        <v>333</v>
      </c>
      <c r="C172" s="180">
        <v>14</v>
      </c>
      <c r="D172" s="127" t="s">
        <v>516</v>
      </c>
      <c r="E172" s="127" t="s">
        <v>420</v>
      </c>
      <c r="F172" s="127"/>
      <c r="G172" s="145">
        <f>SUM(G173)</f>
        <v>32.5</v>
      </c>
      <c r="H172" s="145">
        <f>SUM(H173)</f>
        <v>32.6</v>
      </c>
      <c r="I172" s="145">
        <f>SUM(I173)</f>
        <v>32.549999999999997</v>
      </c>
      <c r="J172" s="145">
        <f>SUM(J173)</f>
        <v>32.549999999999997</v>
      </c>
      <c r="K172" s="128">
        <f t="shared" si="47"/>
        <v>-5.0000000000004263E-2</v>
      </c>
      <c r="L172" s="128">
        <f t="shared" si="48"/>
        <v>99.846625766871156</v>
      </c>
      <c r="M172" s="128">
        <f t="shared" si="49"/>
        <v>0</v>
      </c>
      <c r="N172" s="128">
        <f t="shared" si="50"/>
        <v>100</v>
      </c>
      <c r="O172" s="128">
        <f t="shared" si="53"/>
        <v>100.15384615384615</v>
      </c>
      <c r="P172" s="128">
        <f t="shared" si="51"/>
        <v>99.846625766871156</v>
      </c>
      <c r="Q172" s="128">
        <f t="shared" si="52"/>
        <v>0.10000000000000142</v>
      </c>
      <c r="R172" s="128">
        <f t="shared" si="54"/>
        <v>100.30769230769232</v>
      </c>
      <c r="S172" s="128">
        <f t="shared" si="60"/>
        <v>3.0726895379852071E-2</v>
      </c>
    </row>
    <row r="173" spans="1:19" ht="47.25" customHeight="1">
      <c r="A173" s="126" t="s">
        <v>421</v>
      </c>
      <c r="B173" s="183" t="s">
        <v>333</v>
      </c>
      <c r="C173" s="180">
        <v>14</v>
      </c>
      <c r="D173" s="127" t="s">
        <v>516</v>
      </c>
      <c r="E173" s="127" t="s">
        <v>517</v>
      </c>
      <c r="F173" s="127" t="s">
        <v>428</v>
      </c>
      <c r="G173" s="145">
        <v>32.5</v>
      </c>
      <c r="H173" s="145">
        <v>32.6</v>
      </c>
      <c r="I173" s="145">
        <v>32.549999999999997</v>
      </c>
      <c r="J173" s="145">
        <v>32.549999999999997</v>
      </c>
      <c r="K173" s="128">
        <f t="shared" si="47"/>
        <v>-5.0000000000004263E-2</v>
      </c>
      <c r="L173" s="128">
        <f t="shared" si="48"/>
        <v>99.846625766871156</v>
      </c>
      <c r="M173" s="128">
        <f t="shared" si="49"/>
        <v>0</v>
      </c>
      <c r="N173" s="128">
        <f t="shared" si="50"/>
        <v>100</v>
      </c>
      <c r="O173" s="128">
        <f t="shared" si="53"/>
        <v>100.15384615384615</v>
      </c>
      <c r="P173" s="128">
        <f t="shared" si="51"/>
        <v>99.846625766871156</v>
      </c>
      <c r="Q173" s="128">
        <f t="shared" si="52"/>
        <v>0.10000000000000142</v>
      </c>
      <c r="R173" s="128">
        <f t="shared" si="54"/>
        <v>100.30769230769232</v>
      </c>
      <c r="S173" s="128">
        <f t="shared" si="60"/>
        <v>3.0726895379852071E-2</v>
      </c>
    </row>
    <row r="174" spans="1:19" ht="45.75" customHeight="1">
      <c r="A174" s="126" t="s">
        <v>431</v>
      </c>
      <c r="B174" s="183" t="s">
        <v>333</v>
      </c>
      <c r="C174" s="180">
        <v>14</v>
      </c>
      <c r="D174" s="127" t="s">
        <v>516</v>
      </c>
      <c r="E174" s="146">
        <v>200</v>
      </c>
      <c r="F174" s="146"/>
      <c r="G174" s="132">
        <f>SUM(G175)</f>
        <v>4.5999999999999996</v>
      </c>
      <c r="H174" s="132">
        <f>SUM(H175)</f>
        <v>4.5</v>
      </c>
      <c r="I174" s="132">
        <f>SUM(I175)</f>
        <v>4.55</v>
      </c>
      <c r="J174" s="132">
        <f>SUM(J175)</f>
        <v>4.55</v>
      </c>
      <c r="K174" s="128">
        <f t="shared" si="47"/>
        <v>4.9999999999999822E-2</v>
      </c>
      <c r="L174" s="128">
        <f t="shared" si="48"/>
        <v>101.11111111111111</v>
      </c>
      <c r="M174" s="128">
        <f t="shared" si="49"/>
        <v>0</v>
      </c>
      <c r="N174" s="128">
        <f t="shared" si="50"/>
        <v>100</v>
      </c>
      <c r="O174" s="128">
        <f t="shared" si="53"/>
        <v>98.913043478260875</v>
      </c>
      <c r="P174" s="128">
        <f t="shared" si="51"/>
        <v>101.11111111111111</v>
      </c>
      <c r="Q174" s="128">
        <f t="shared" si="52"/>
        <v>-9.9999999999999645E-2</v>
      </c>
      <c r="R174" s="128">
        <f t="shared" si="54"/>
        <v>97.826086956521749</v>
      </c>
      <c r="S174" s="128">
        <f t="shared" si="60"/>
        <v>4.2951574186890001E-3</v>
      </c>
    </row>
    <row r="175" spans="1:19" ht="48" customHeight="1">
      <c r="A175" s="126" t="s">
        <v>433</v>
      </c>
      <c r="B175" s="183" t="s">
        <v>333</v>
      </c>
      <c r="C175" s="180">
        <v>14</v>
      </c>
      <c r="D175" s="127" t="s">
        <v>516</v>
      </c>
      <c r="E175" s="146">
        <v>244</v>
      </c>
      <c r="F175" s="146">
        <v>227</v>
      </c>
      <c r="G175" s="132">
        <v>4.5999999999999996</v>
      </c>
      <c r="H175" s="132">
        <v>4.5</v>
      </c>
      <c r="I175" s="132">
        <v>4.55</v>
      </c>
      <c r="J175" s="132">
        <v>4.55</v>
      </c>
      <c r="K175" s="128">
        <f t="shared" si="47"/>
        <v>4.9999999999999822E-2</v>
      </c>
      <c r="L175" s="128">
        <f t="shared" si="48"/>
        <v>101.11111111111111</v>
      </c>
      <c r="M175" s="128">
        <f t="shared" si="49"/>
        <v>0</v>
      </c>
      <c r="N175" s="128">
        <f t="shared" si="50"/>
        <v>100</v>
      </c>
      <c r="O175" s="128">
        <f t="shared" si="53"/>
        <v>98.913043478260875</v>
      </c>
      <c r="P175" s="128">
        <f t="shared" si="51"/>
        <v>101.11111111111111</v>
      </c>
      <c r="Q175" s="128">
        <f t="shared" si="52"/>
        <v>-9.9999999999999645E-2</v>
      </c>
      <c r="R175" s="128">
        <f t="shared" si="54"/>
        <v>97.826086956521749</v>
      </c>
      <c r="S175" s="128">
        <f t="shared" si="60"/>
        <v>4.2951574186890001E-3</v>
      </c>
    </row>
    <row r="176" spans="1:19" ht="33.75" customHeight="1">
      <c r="A176" s="182" t="s">
        <v>515</v>
      </c>
      <c r="B176" s="183" t="s">
        <v>333</v>
      </c>
      <c r="C176" s="180">
        <v>14</v>
      </c>
      <c r="D176" s="127" t="s">
        <v>518</v>
      </c>
      <c r="E176" s="146"/>
      <c r="F176" s="146"/>
      <c r="G176" s="132">
        <f>SUM(G179+G177)</f>
        <v>15.9</v>
      </c>
      <c r="H176" s="132">
        <f>SUM(H179+H177)</f>
        <v>15.9</v>
      </c>
      <c r="I176" s="132">
        <f>SUM(I179+I177)</f>
        <v>15.899999999999999</v>
      </c>
      <c r="J176" s="132">
        <f>SUM(J179+J177)</f>
        <v>15.899999999999999</v>
      </c>
      <c r="K176" s="128">
        <f t="shared" si="47"/>
        <v>0</v>
      </c>
      <c r="L176" s="128">
        <f t="shared" si="48"/>
        <v>99.999999999999986</v>
      </c>
      <c r="M176" s="128">
        <f t="shared" si="49"/>
        <v>0</v>
      </c>
      <c r="N176" s="128">
        <f t="shared" si="50"/>
        <v>100</v>
      </c>
      <c r="O176" s="128">
        <f t="shared" si="53"/>
        <v>99.999999999999986</v>
      </c>
      <c r="P176" s="128">
        <f t="shared" si="51"/>
        <v>99.999999999999986</v>
      </c>
      <c r="Q176" s="128">
        <f t="shared" si="52"/>
        <v>0</v>
      </c>
      <c r="R176" s="128">
        <f t="shared" si="54"/>
        <v>100</v>
      </c>
      <c r="S176" s="128">
        <f t="shared" si="60"/>
        <v>1.5009451199374746E-2</v>
      </c>
    </row>
    <row r="177" spans="1:19" ht="83.25" customHeight="1">
      <c r="A177" s="131" t="s">
        <v>419</v>
      </c>
      <c r="B177" s="183" t="s">
        <v>333</v>
      </c>
      <c r="C177" s="180">
        <v>14</v>
      </c>
      <c r="D177" s="127" t="s">
        <v>518</v>
      </c>
      <c r="E177" s="127" t="s">
        <v>420</v>
      </c>
      <c r="F177" s="127"/>
      <c r="G177" s="132">
        <f>SUM(G178)</f>
        <v>14</v>
      </c>
      <c r="H177" s="132">
        <f>SUM(H178)</f>
        <v>14</v>
      </c>
      <c r="I177" s="132">
        <f>SUM(I178)</f>
        <v>13.95</v>
      </c>
      <c r="J177" s="132">
        <f>SUM(J178)</f>
        <v>13.95</v>
      </c>
      <c r="K177" s="128">
        <f t="shared" si="47"/>
        <v>-5.0000000000000711E-2</v>
      </c>
      <c r="L177" s="128">
        <f t="shared" si="48"/>
        <v>99.642857142857139</v>
      </c>
      <c r="M177" s="128">
        <f t="shared" si="49"/>
        <v>0</v>
      </c>
      <c r="N177" s="128">
        <f t="shared" si="50"/>
        <v>100</v>
      </c>
      <c r="O177" s="128">
        <f t="shared" si="53"/>
        <v>99.642857142857139</v>
      </c>
      <c r="P177" s="128">
        <f t="shared" si="51"/>
        <v>99.642857142857139</v>
      </c>
      <c r="Q177" s="128">
        <f t="shared" si="52"/>
        <v>0</v>
      </c>
      <c r="R177" s="128">
        <f t="shared" si="54"/>
        <v>100</v>
      </c>
      <c r="S177" s="128">
        <f t="shared" si="60"/>
        <v>1.316866944850803E-2</v>
      </c>
    </row>
    <row r="178" spans="1:19" ht="49.5" customHeight="1">
      <c r="A178" s="126" t="s">
        <v>421</v>
      </c>
      <c r="B178" s="183" t="s">
        <v>333</v>
      </c>
      <c r="C178" s="180">
        <v>14</v>
      </c>
      <c r="D178" s="127" t="s">
        <v>518</v>
      </c>
      <c r="E178" s="127" t="s">
        <v>517</v>
      </c>
      <c r="F178" s="127" t="s">
        <v>428</v>
      </c>
      <c r="G178" s="132">
        <v>14</v>
      </c>
      <c r="H178" s="132">
        <v>14</v>
      </c>
      <c r="I178" s="132">
        <v>13.95</v>
      </c>
      <c r="J178" s="132">
        <v>13.95</v>
      </c>
      <c r="K178" s="128">
        <f t="shared" si="47"/>
        <v>-5.0000000000000711E-2</v>
      </c>
      <c r="L178" s="128">
        <f t="shared" si="48"/>
        <v>99.642857142857139</v>
      </c>
      <c r="M178" s="128">
        <f t="shared" si="49"/>
        <v>0</v>
      </c>
      <c r="N178" s="128">
        <f t="shared" si="50"/>
        <v>100</v>
      </c>
      <c r="O178" s="128">
        <f t="shared" si="53"/>
        <v>99.642857142857139</v>
      </c>
      <c r="P178" s="128">
        <f t="shared" si="51"/>
        <v>99.642857142857139</v>
      </c>
      <c r="Q178" s="128">
        <f t="shared" si="52"/>
        <v>0</v>
      </c>
      <c r="R178" s="128">
        <f t="shared" si="54"/>
        <v>100</v>
      </c>
      <c r="S178" s="128">
        <f t="shared" si="60"/>
        <v>1.316866944850803E-2</v>
      </c>
    </row>
    <row r="179" spans="1:19" ht="46.5" customHeight="1">
      <c r="A179" s="126" t="s">
        <v>431</v>
      </c>
      <c r="B179" s="183" t="s">
        <v>333</v>
      </c>
      <c r="C179" s="180">
        <v>14</v>
      </c>
      <c r="D179" s="127" t="s">
        <v>518</v>
      </c>
      <c r="E179" s="146">
        <v>200</v>
      </c>
      <c r="F179" s="146"/>
      <c r="G179" s="184">
        <f>SUM(G180)</f>
        <v>1.9</v>
      </c>
      <c r="H179" s="184">
        <f>SUM(H180)</f>
        <v>1.9</v>
      </c>
      <c r="I179" s="184">
        <f>SUM(I180)</f>
        <v>1.95</v>
      </c>
      <c r="J179" s="184">
        <f>SUM(J180)</f>
        <v>1.95</v>
      </c>
      <c r="K179" s="128">
        <f t="shared" si="47"/>
        <v>5.0000000000000044E-2</v>
      </c>
      <c r="L179" s="128">
        <f t="shared" si="48"/>
        <v>102.63157894736842</v>
      </c>
      <c r="M179" s="128">
        <f t="shared" si="49"/>
        <v>0</v>
      </c>
      <c r="N179" s="128">
        <f t="shared" si="50"/>
        <v>100</v>
      </c>
      <c r="O179" s="128">
        <f t="shared" si="53"/>
        <v>102.63157894736842</v>
      </c>
      <c r="P179" s="128">
        <f t="shared" si="51"/>
        <v>102.63157894736842</v>
      </c>
      <c r="Q179" s="128">
        <f t="shared" si="52"/>
        <v>0</v>
      </c>
      <c r="R179" s="128">
        <f t="shared" si="54"/>
        <v>100</v>
      </c>
      <c r="S179" s="128">
        <f t="shared" si="60"/>
        <v>1.840781750866714E-3</v>
      </c>
    </row>
    <row r="180" spans="1:19" ht="51.75" customHeight="1">
      <c r="A180" s="126" t="s">
        <v>433</v>
      </c>
      <c r="B180" s="183" t="s">
        <v>333</v>
      </c>
      <c r="C180" s="180">
        <v>14</v>
      </c>
      <c r="D180" s="127" t="s">
        <v>518</v>
      </c>
      <c r="E180" s="146">
        <v>244</v>
      </c>
      <c r="F180" s="146">
        <v>227</v>
      </c>
      <c r="G180" s="184">
        <v>1.9</v>
      </c>
      <c r="H180" s="184">
        <v>1.9</v>
      </c>
      <c r="I180" s="184">
        <v>1.95</v>
      </c>
      <c r="J180" s="184">
        <v>1.95</v>
      </c>
      <c r="K180" s="128">
        <f t="shared" si="47"/>
        <v>5.0000000000000044E-2</v>
      </c>
      <c r="L180" s="128">
        <f t="shared" si="48"/>
        <v>102.63157894736842</v>
      </c>
      <c r="M180" s="128">
        <f t="shared" si="49"/>
        <v>0</v>
      </c>
      <c r="N180" s="128">
        <f t="shared" si="50"/>
        <v>100</v>
      </c>
      <c r="O180" s="128">
        <f t="shared" si="53"/>
        <v>102.63157894736842</v>
      </c>
      <c r="P180" s="128">
        <f t="shared" si="51"/>
        <v>102.63157894736842</v>
      </c>
      <c r="Q180" s="128">
        <f t="shared" si="52"/>
        <v>0</v>
      </c>
      <c r="R180" s="128">
        <f t="shared" si="54"/>
        <v>100</v>
      </c>
      <c r="S180" s="128">
        <f t="shared" si="60"/>
        <v>1.840781750866714E-3</v>
      </c>
    </row>
    <row r="181" spans="1:19" s="122" customFormat="1" ht="27.75" customHeight="1">
      <c r="A181" s="167" t="s">
        <v>364</v>
      </c>
      <c r="B181" s="120" t="s">
        <v>341</v>
      </c>
      <c r="C181" s="120"/>
      <c r="D181" s="120"/>
      <c r="E181" s="120"/>
      <c r="F181" s="120"/>
      <c r="G181" s="121">
        <f>G182+G203+G197+G191</f>
        <v>15960.3</v>
      </c>
      <c r="H181" s="121">
        <f>H182+H203+H197+H191</f>
        <v>29509.200000000001</v>
      </c>
      <c r="I181" s="121">
        <f>I182+I203+I197+I191</f>
        <v>29509.201589999997</v>
      </c>
      <c r="J181" s="121">
        <f>J182+J203+J197+J191</f>
        <v>28392.755549999998</v>
      </c>
      <c r="K181" s="121">
        <f t="shared" si="47"/>
        <v>1.5899999962130096E-3</v>
      </c>
      <c r="L181" s="121">
        <f t="shared" si="48"/>
        <v>100.00000538815013</v>
      </c>
      <c r="M181" s="121">
        <f t="shared" si="49"/>
        <v>-1116.4460399999989</v>
      </c>
      <c r="N181" s="121">
        <f t="shared" si="50"/>
        <v>96.216617258874464</v>
      </c>
      <c r="O181" s="121">
        <f t="shared" si="53"/>
        <v>177.89612695250091</v>
      </c>
      <c r="P181" s="121">
        <f t="shared" si="51"/>
        <v>96.216622443170252</v>
      </c>
      <c r="Q181" s="121">
        <f t="shared" si="52"/>
        <v>13548.900000000001</v>
      </c>
      <c r="R181" s="121">
        <f t="shared" si="54"/>
        <v>184.89126144245409</v>
      </c>
      <c r="S181" s="121">
        <f t="shared" si="60"/>
        <v>26.802495524748522</v>
      </c>
    </row>
    <row r="182" spans="1:19" s="122" customFormat="1" ht="24.75" customHeight="1">
      <c r="A182" s="185" t="s">
        <v>365</v>
      </c>
      <c r="B182" s="186">
        <v>4</v>
      </c>
      <c r="C182" s="187">
        <v>1</v>
      </c>
      <c r="D182" s="188"/>
      <c r="E182" s="189"/>
      <c r="F182" s="189"/>
      <c r="G182" s="125">
        <f t="shared" ref="G182:J183" si="61">G183</f>
        <v>1275.9000000000001</v>
      </c>
      <c r="H182" s="125">
        <f>H183</f>
        <v>4141.8</v>
      </c>
      <c r="I182" s="125">
        <f t="shared" si="61"/>
        <v>4141.7808399999994</v>
      </c>
      <c r="J182" s="125">
        <f t="shared" si="61"/>
        <v>4141.7808399999994</v>
      </c>
      <c r="K182" s="125">
        <f t="shared" si="47"/>
        <v>-1.9160000000738364E-2</v>
      </c>
      <c r="L182" s="125">
        <f t="shared" si="48"/>
        <v>99.999537399198402</v>
      </c>
      <c r="M182" s="125">
        <f t="shared" si="49"/>
        <v>0</v>
      </c>
      <c r="N182" s="125">
        <f t="shared" si="50"/>
        <v>100</v>
      </c>
      <c r="O182" s="125">
        <f t="shared" si="53"/>
        <v>324.61641507955164</v>
      </c>
      <c r="P182" s="125">
        <f t="shared" si="51"/>
        <v>99.999537399198402</v>
      </c>
      <c r="Q182" s="125">
        <f t="shared" si="52"/>
        <v>2865.9</v>
      </c>
      <c r="R182" s="125">
        <f t="shared" si="54"/>
        <v>324.61791676463673</v>
      </c>
      <c r="S182" s="125">
        <f t="shared" si="60"/>
        <v>3.9098023519802099</v>
      </c>
    </row>
    <row r="183" spans="1:19" ht="36.75" customHeight="1">
      <c r="A183" s="190" t="s">
        <v>413</v>
      </c>
      <c r="B183" s="140">
        <v>4</v>
      </c>
      <c r="C183" s="141">
        <v>1</v>
      </c>
      <c r="D183" s="191">
        <v>4000000000</v>
      </c>
      <c r="E183" s="192"/>
      <c r="F183" s="192"/>
      <c r="G183" s="132">
        <f t="shared" si="61"/>
        <v>1275.9000000000001</v>
      </c>
      <c r="H183" s="132">
        <f>H184</f>
        <v>4141.8</v>
      </c>
      <c r="I183" s="132">
        <f t="shared" si="61"/>
        <v>4141.7808399999994</v>
      </c>
      <c r="J183" s="132">
        <f t="shared" si="61"/>
        <v>4141.7808399999994</v>
      </c>
      <c r="K183" s="128">
        <f t="shared" si="47"/>
        <v>-1.9160000000738364E-2</v>
      </c>
      <c r="L183" s="128">
        <f t="shared" si="48"/>
        <v>99.999537399198402</v>
      </c>
      <c r="M183" s="128">
        <f t="shared" si="49"/>
        <v>0</v>
      </c>
      <c r="N183" s="128">
        <f t="shared" si="50"/>
        <v>100</v>
      </c>
      <c r="O183" s="128">
        <f t="shared" si="53"/>
        <v>324.61641507955164</v>
      </c>
      <c r="P183" s="128">
        <f t="shared" si="51"/>
        <v>99.999537399198402</v>
      </c>
      <c r="Q183" s="128">
        <f t="shared" si="52"/>
        <v>2865.9</v>
      </c>
      <c r="R183" s="128">
        <f t="shared" si="54"/>
        <v>324.61791676463673</v>
      </c>
      <c r="S183" s="128">
        <f t="shared" si="60"/>
        <v>3.9098023519802099</v>
      </c>
    </row>
    <row r="184" spans="1:19" ht="45.75" customHeight="1">
      <c r="A184" s="139" t="s">
        <v>519</v>
      </c>
      <c r="B184" s="140">
        <v>4</v>
      </c>
      <c r="C184" s="141">
        <v>1</v>
      </c>
      <c r="D184" s="191">
        <v>4030000000</v>
      </c>
      <c r="E184" s="192"/>
      <c r="F184" s="192"/>
      <c r="G184" s="132">
        <f>G185+G188</f>
        <v>1275.9000000000001</v>
      </c>
      <c r="H184" s="132">
        <f>H185+H188</f>
        <v>4141.8</v>
      </c>
      <c r="I184" s="132">
        <f>I185+I188</f>
        <v>4141.7808399999994</v>
      </c>
      <c r="J184" s="132">
        <f>J185+J188</f>
        <v>4141.7808399999994</v>
      </c>
      <c r="K184" s="128">
        <f t="shared" si="47"/>
        <v>-1.9160000000738364E-2</v>
      </c>
      <c r="L184" s="128">
        <f t="shared" si="48"/>
        <v>99.999537399198402</v>
      </c>
      <c r="M184" s="128">
        <f t="shared" si="49"/>
        <v>0</v>
      </c>
      <c r="N184" s="128">
        <f t="shared" si="50"/>
        <v>100</v>
      </c>
      <c r="O184" s="128">
        <f t="shared" si="53"/>
        <v>324.61641507955164</v>
      </c>
      <c r="P184" s="128">
        <f t="shared" si="51"/>
        <v>99.999537399198402</v>
      </c>
      <c r="Q184" s="128">
        <f t="shared" si="52"/>
        <v>2865.9</v>
      </c>
      <c r="R184" s="128">
        <f t="shared" si="54"/>
        <v>324.61791676463673</v>
      </c>
      <c r="S184" s="128">
        <f t="shared" si="60"/>
        <v>3.9098023519802099</v>
      </c>
    </row>
    <row r="185" spans="1:19" s="193" customFormat="1" ht="30" customHeight="1">
      <c r="A185" s="147" t="s">
        <v>520</v>
      </c>
      <c r="B185" s="140">
        <v>4</v>
      </c>
      <c r="C185" s="141">
        <v>1</v>
      </c>
      <c r="D185" s="191">
        <v>4030089191</v>
      </c>
      <c r="E185" s="192"/>
      <c r="F185" s="192"/>
      <c r="G185" s="132">
        <f t="shared" ref="G185:J186" si="62">SUM(G186)</f>
        <v>1275.9000000000001</v>
      </c>
      <c r="H185" s="132">
        <f>SUM(H186)</f>
        <v>2952.3</v>
      </c>
      <c r="I185" s="132">
        <f t="shared" si="62"/>
        <v>2952.3235199999999</v>
      </c>
      <c r="J185" s="132">
        <f t="shared" si="62"/>
        <v>2952.3235199999999</v>
      </c>
      <c r="K185" s="128">
        <f t="shared" si="47"/>
        <v>2.3519999999734864E-2</v>
      </c>
      <c r="L185" s="128">
        <f t="shared" si="48"/>
        <v>100.00079666700539</v>
      </c>
      <c r="M185" s="128">
        <f t="shared" si="49"/>
        <v>0</v>
      </c>
      <c r="N185" s="128">
        <f t="shared" si="50"/>
        <v>100</v>
      </c>
      <c r="O185" s="128">
        <f t="shared" si="53"/>
        <v>231.39145074065362</v>
      </c>
      <c r="P185" s="128">
        <f t="shared" si="51"/>
        <v>100.00079666700539</v>
      </c>
      <c r="Q185" s="128">
        <f t="shared" si="52"/>
        <v>1676.4</v>
      </c>
      <c r="R185" s="128">
        <f t="shared" si="54"/>
        <v>231.38960733599814</v>
      </c>
      <c r="S185" s="128">
        <f t="shared" si="60"/>
        <v>2.7869657734720925</v>
      </c>
    </row>
    <row r="186" spans="1:19" ht="45" customHeight="1">
      <c r="A186" s="136" t="s">
        <v>521</v>
      </c>
      <c r="B186" s="140">
        <v>4</v>
      </c>
      <c r="C186" s="141">
        <v>1</v>
      </c>
      <c r="D186" s="191">
        <v>4030089191</v>
      </c>
      <c r="E186" s="194">
        <v>600</v>
      </c>
      <c r="F186" s="195"/>
      <c r="G186" s="132">
        <f t="shared" si="62"/>
        <v>1275.9000000000001</v>
      </c>
      <c r="H186" s="132">
        <f>SUM(H187)</f>
        <v>2952.3</v>
      </c>
      <c r="I186" s="132">
        <f t="shared" si="62"/>
        <v>2952.3235199999999</v>
      </c>
      <c r="J186" s="132">
        <f t="shared" si="62"/>
        <v>2952.3235199999999</v>
      </c>
      <c r="K186" s="128">
        <f t="shared" si="47"/>
        <v>2.3519999999734864E-2</v>
      </c>
      <c r="L186" s="128">
        <f t="shared" si="48"/>
        <v>100.00079666700539</v>
      </c>
      <c r="M186" s="128">
        <f t="shared" si="49"/>
        <v>0</v>
      </c>
      <c r="N186" s="128">
        <f t="shared" si="50"/>
        <v>100</v>
      </c>
      <c r="O186" s="128">
        <f t="shared" si="53"/>
        <v>231.39145074065362</v>
      </c>
      <c r="P186" s="128">
        <f t="shared" si="51"/>
        <v>100.00079666700539</v>
      </c>
      <c r="Q186" s="128">
        <f t="shared" si="52"/>
        <v>1676.4</v>
      </c>
      <c r="R186" s="128">
        <f t="shared" si="54"/>
        <v>231.38960733599814</v>
      </c>
      <c r="S186" s="128">
        <f t="shared" si="60"/>
        <v>2.7869657734720925</v>
      </c>
    </row>
    <row r="187" spans="1:19" ht="21" customHeight="1">
      <c r="A187" s="147" t="s">
        <v>522</v>
      </c>
      <c r="B187" s="140">
        <v>4</v>
      </c>
      <c r="C187" s="141">
        <v>1</v>
      </c>
      <c r="D187" s="191">
        <v>4030089191</v>
      </c>
      <c r="E187" s="195">
        <v>612</v>
      </c>
      <c r="F187" s="195">
        <v>241</v>
      </c>
      <c r="G187" s="132">
        <v>1275.9000000000001</v>
      </c>
      <c r="H187" s="132">
        <v>2952.3</v>
      </c>
      <c r="I187" s="132">
        <v>2952.3235199999999</v>
      </c>
      <c r="J187" s="132">
        <v>2952.3235199999999</v>
      </c>
      <c r="K187" s="128">
        <f t="shared" si="47"/>
        <v>2.3519999999734864E-2</v>
      </c>
      <c r="L187" s="128">
        <f t="shared" si="48"/>
        <v>100.00079666700539</v>
      </c>
      <c r="M187" s="128">
        <f t="shared" si="49"/>
        <v>0</v>
      </c>
      <c r="N187" s="128">
        <f t="shared" si="50"/>
        <v>100</v>
      </c>
      <c r="O187" s="128">
        <f t="shared" si="53"/>
        <v>231.39145074065362</v>
      </c>
      <c r="P187" s="128">
        <f t="shared" si="51"/>
        <v>100.00079666700539</v>
      </c>
      <c r="Q187" s="128">
        <f t="shared" si="52"/>
        <v>1676.4</v>
      </c>
      <c r="R187" s="128">
        <f t="shared" si="54"/>
        <v>231.38960733599814</v>
      </c>
      <c r="S187" s="128">
        <f t="shared" si="60"/>
        <v>2.7869657734720925</v>
      </c>
    </row>
    <row r="188" spans="1:19" ht="39.75" customHeight="1">
      <c r="A188" s="147" t="s">
        <v>520</v>
      </c>
      <c r="B188" s="140">
        <v>4</v>
      </c>
      <c r="C188" s="141">
        <v>1</v>
      </c>
      <c r="D188" s="191">
        <v>4030185060</v>
      </c>
      <c r="E188" s="194"/>
      <c r="F188" s="194"/>
      <c r="G188" s="132">
        <f t="shared" ref="G188:J189" si="63">SUM(G189)</f>
        <v>0</v>
      </c>
      <c r="H188" s="132">
        <f>SUM(H189)</f>
        <v>1189.5</v>
      </c>
      <c r="I188" s="132">
        <f t="shared" si="63"/>
        <v>1189.45732</v>
      </c>
      <c r="J188" s="132">
        <f t="shared" si="63"/>
        <v>1189.45732</v>
      </c>
      <c r="K188" s="128">
        <f t="shared" si="47"/>
        <v>-4.2680000000018481E-2</v>
      </c>
      <c r="L188" s="128">
        <f t="shared" si="48"/>
        <v>99.996411937788992</v>
      </c>
      <c r="M188" s="128">
        <f t="shared" si="49"/>
        <v>0</v>
      </c>
      <c r="N188" s="128">
        <f t="shared" si="50"/>
        <v>100</v>
      </c>
      <c r="O188" s="128"/>
      <c r="P188" s="128">
        <f t="shared" si="51"/>
        <v>99.996411937788992</v>
      </c>
      <c r="Q188" s="128">
        <f t="shared" si="52"/>
        <v>1189.5</v>
      </c>
      <c r="R188" s="128"/>
      <c r="S188" s="128">
        <f t="shared" si="60"/>
        <v>1.1228365785081178</v>
      </c>
    </row>
    <row r="189" spans="1:19" ht="49.5" customHeight="1">
      <c r="A189" s="136" t="s">
        <v>521</v>
      </c>
      <c r="B189" s="140">
        <v>4</v>
      </c>
      <c r="C189" s="141">
        <v>1</v>
      </c>
      <c r="D189" s="191">
        <v>4030185060</v>
      </c>
      <c r="E189" s="194">
        <v>600</v>
      </c>
      <c r="F189" s="194"/>
      <c r="G189" s="132">
        <f t="shared" si="63"/>
        <v>0</v>
      </c>
      <c r="H189" s="132">
        <f>SUM(H190)</f>
        <v>1189.5</v>
      </c>
      <c r="I189" s="132">
        <f t="shared" si="63"/>
        <v>1189.45732</v>
      </c>
      <c r="J189" s="132">
        <f t="shared" si="63"/>
        <v>1189.45732</v>
      </c>
      <c r="K189" s="128">
        <f t="shared" si="47"/>
        <v>-4.2680000000018481E-2</v>
      </c>
      <c r="L189" s="128">
        <f t="shared" si="48"/>
        <v>99.996411937788992</v>
      </c>
      <c r="M189" s="128">
        <f t="shared" si="49"/>
        <v>0</v>
      </c>
      <c r="N189" s="128">
        <f t="shared" si="50"/>
        <v>100</v>
      </c>
      <c r="O189" s="128"/>
      <c r="P189" s="128">
        <f t="shared" si="51"/>
        <v>99.996411937788992</v>
      </c>
      <c r="Q189" s="128">
        <f t="shared" si="52"/>
        <v>1189.5</v>
      </c>
      <c r="R189" s="128"/>
      <c r="S189" s="128">
        <f t="shared" si="60"/>
        <v>1.1228365785081178</v>
      </c>
    </row>
    <row r="190" spans="1:19" ht="27.75" customHeight="1">
      <c r="A190" s="147" t="s">
        <v>522</v>
      </c>
      <c r="B190" s="140">
        <v>4</v>
      </c>
      <c r="C190" s="141">
        <v>1</v>
      </c>
      <c r="D190" s="191">
        <v>4030185060</v>
      </c>
      <c r="E190" s="194">
        <v>612</v>
      </c>
      <c r="F190" s="194">
        <v>241</v>
      </c>
      <c r="G190" s="132"/>
      <c r="H190" s="132">
        <v>1189.5</v>
      </c>
      <c r="I190" s="132">
        <v>1189.45732</v>
      </c>
      <c r="J190" s="132">
        <v>1189.45732</v>
      </c>
      <c r="K190" s="128">
        <f t="shared" si="47"/>
        <v>-4.2680000000018481E-2</v>
      </c>
      <c r="L190" s="128">
        <f t="shared" si="48"/>
        <v>99.996411937788992</v>
      </c>
      <c r="M190" s="128">
        <f t="shared" si="49"/>
        <v>0</v>
      </c>
      <c r="N190" s="128">
        <f t="shared" si="50"/>
        <v>100</v>
      </c>
      <c r="O190" s="128"/>
      <c r="P190" s="128">
        <f t="shared" si="51"/>
        <v>99.996411937788992</v>
      </c>
      <c r="Q190" s="128">
        <f t="shared" si="52"/>
        <v>1189.5</v>
      </c>
      <c r="R190" s="128"/>
      <c r="S190" s="128">
        <f t="shared" si="60"/>
        <v>1.1228365785081178</v>
      </c>
    </row>
    <row r="191" spans="1:19" s="122" customFormat="1" ht="28.5" customHeight="1">
      <c r="A191" s="196" t="s">
        <v>367</v>
      </c>
      <c r="B191" s="186">
        <v>4</v>
      </c>
      <c r="C191" s="187">
        <v>5</v>
      </c>
      <c r="D191" s="188"/>
      <c r="E191" s="189"/>
      <c r="F191" s="189"/>
      <c r="G191" s="125">
        <f t="shared" ref="G191:J195" si="64">SUM(G192)</f>
        <v>0</v>
      </c>
      <c r="H191" s="125">
        <f t="shared" si="64"/>
        <v>300</v>
      </c>
      <c r="I191" s="125">
        <f t="shared" si="64"/>
        <v>300</v>
      </c>
      <c r="J191" s="125">
        <f t="shared" si="64"/>
        <v>299.8</v>
      </c>
      <c r="K191" s="125">
        <f t="shared" si="47"/>
        <v>0</v>
      </c>
      <c r="L191" s="125">
        <f t="shared" si="48"/>
        <v>100</v>
      </c>
      <c r="M191" s="125">
        <f t="shared" si="49"/>
        <v>-0.19999999999998863</v>
      </c>
      <c r="N191" s="125">
        <f t="shared" si="50"/>
        <v>99.933333333333337</v>
      </c>
      <c r="O191" s="125"/>
      <c r="P191" s="125">
        <f t="shared" si="51"/>
        <v>99.933333333333337</v>
      </c>
      <c r="Q191" s="125">
        <f t="shared" si="52"/>
        <v>300</v>
      </c>
      <c r="R191" s="125"/>
      <c r="S191" s="125">
        <f t="shared" si="60"/>
        <v>0.28300839431273894</v>
      </c>
    </row>
    <row r="192" spans="1:19" ht="33" customHeight="1">
      <c r="A192" s="190" t="s">
        <v>413</v>
      </c>
      <c r="B192" s="158">
        <v>4</v>
      </c>
      <c r="C192" s="159">
        <v>5</v>
      </c>
      <c r="D192" s="191">
        <v>4000000000</v>
      </c>
      <c r="E192" s="197"/>
      <c r="F192" s="197"/>
      <c r="G192" s="132">
        <f t="shared" si="64"/>
        <v>0</v>
      </c>
      <c r="H192" s="132">
        <f t="shared" si="64"/>
        <v>300</v>
      </c>
      <c r="I192" s="132">
        <f t="shared" si="64"/>
        <v>300</v>
      </c>
      <c r="J192" s="132">
        <f t="shared" si="64"/>
        <v>299.8</v>
      </c>
      <c r="K192" s="128">
        <f t="shared" si="47"/>
        <v>0</v>
      </c>
      <c r="L192" s="128">
        <f t="shared" si="48"/>
        <v>100</v>
      </c>
      <c r="M192" s="128">
        <f t="shared" si="49"/>
        <v>-0.19999999999998863</v>
      </c>
      <c r="N192" s="128">
        <f t="shared" si="50"/>
        <v>99.933333333333337</v>
      </c>
      <c r="O192" s="128"/>
      <c r="P192" s="128">
        <f t="shared" si="51"/>
        <v>99.933333333333337</v>
      </c>
      <c r="Q192" s="128">
        <f t="shared" si="52"/>
        <v>300</v>
      </c>
      <c r="R192" s="128"/>
      <c r="S192" s="128">
        <f t="shared" si="60"/>
        <v>0.28300839431273894</v>
      </c>
    </row>
    <row r="193" spans="1:19" ht="52.5" customHeight="1">
      <c r="A193" s="130" t="s">
        <v>519</v>
      </c>
      <c r="B193" s="158">
        <v>4</v>
      </c>
      <c r="C193" s="159">
        <v>5</v>
      </c>
      <c r="D193" s="191">
        <v>4030000000</v>
      </c>
      <c r="E193" s="194"/>
      <c r="F193" s="194"/>
      <c r="G193" s="132">
        <f t="shared" si="64"/>
        <v>0</v>
      </c>
      <c r="H193" s="132">
        <f t="shared" si="64"/>
        <v>300</v>
      </c>
      <c r="I193" s="132">
        <f t="shared" si="64"/>
        <v>300</v>
      </c>
      <c r="J193" s="132">
        <f t="shared" si="64"/>
        <v>299.8</v>
      </c>
      <c r="K193" s="128">
        <f t="shared" si="47"/>
        <v>0</v>
      </c>
      <c r="L193" s="128">
        <f t="shared" si="48"/>
        <v>100</v>
      </c>
      <c r="M193" s="128">
        <f t="shared" si="49"/>
        <v>-0.19999999999998863</v>
      </c>
      <c r="N193" s="128">
        <f t="shared" si="50"/>
        <v>99.933333333333337</v>
      </c>
      <c r="O193" s="128"/>
      <c r="P193" s="128">
        <f t="shared" si="51"/>
        <v>99.933333333333337</v>
      </c>
      <c r="Q193" s="128">
        <f t="shared" si="52"/>
        <v>300</v>
      </c>
      <c r="R193" s="128"/>
      <c r="S193" s="128">
        <f t="shared" si="60"/>
        <v>0.28300839431273894</v>
      </c>
    </row>
    <row r="194" spans="1:19" ht="64.5" customHeight="1">
      <c r="A194" s="198" t="s">
        <v>523</v>
      </c>
      <c r="B194" s="158">
        <v>4</v>
      </c>
      <c r="C194" s="159">
        <v>5</v>
      </c>
      <c r="D194" s="160">
        <v>4030089051</v>
      </c>
      <c r="E194" s="199"/>
      <c r="F194" s="199"/>
      <c r="G194" s="132">
        <f t="shared" si="64"/>
        <v>0</v>
      </c>
      <c r="H194" s="132">
        <f t="shared" si="64"/>
        <v>300</v>
      </c>
      <c r="I194" s="132">
        <f t="shared" si="64"/>
        <v>300</v>
      </c>
      <c r="J194" s="132">
        <f t="shared" si="64"/>
        <v>299.8</v>
      </c>
      <c r="K194" s="128">
        <f t="shared" si="47"/>
        <v>0</v>
      </c>
      <c r="L194" s="128">
        <f t="shared" si="48"/>
        <v>100</v>
      </c>
      <c r="M194" s="128">
        <f t="shared" si="49"/>
        <v>-0.19999999999998863</v>
      </c>
      <c r="N194" s="128">
        <f t="shared" si="50"/>
        <v>99.933333333333337</v>
      </c>
      <c r="O194" s="128"/>
      <c r="P194" s="128">
        <f t="shared" si="51"/>
        <v>99.933333333333337</v>
      </c>
      <c r="Q194" s="128">
        <f t="shared" si="52"/>
        <v>300</v>
      </c>
      <c r="R194" s="128"/>
      <c r="S194" s="128">
        <f t="shared" si="60"/>
        <v>0.28300839431273894</v>
      </c>
    </row>
    <row r="195" spans="1:19" ht="51.75" customHeight="1">
      <c r="A195" s="130" t="s">
        <v>431</v>
      </c>
      <c r="B195" s="158">
        <v>4</v>
      </c>
      <c r="C195" s="159">
        <v>5</v>
      </c>
      <c r="D195" s="160">
        <v>4030089051</v>
      </c>
      <c r="E195" s="199">
        <v>200</v>
      </c>
      <c r="F195" s="199"/>
      <c r="G195" s="132">
        <f t="shared" si="64"/>
        <v>0</v>
      </c>
      <c r="H195" s="132">
        <f t="shared" si="64"/>
        <v>300</v>
      </c>
      <c r="I195" s="132">
        <f t="shared" si="64"/>
        <v>300</v>
      </c>
      <c r="J195" s="132">
        <f t="shared" si="64"/>
        <v>299.8</v>
      </c>
      <c r="K195" s="128">
        <f t="shared" si="47"/>
        <v>0</v>
      </c>
      <c r="L195" s="128">
        <f t="shared" si="48"/>
        <v>100</v>
      </c>
      <c r="M195" s="128">
        <f t="shared" si="49"/>
        <v>-0.19999999999998863</v>
      </c>
      <c r="N195" s="128">
        <f t="shared" si="50"/>
        <v>99.933333333333337</v>
      </c>
      <c r="O195" s="128"/>
      <c r="P195" s="128">
        <f t="shared" si="51"/>
        <v>99.933333333333337</v>
      </c>
      <c r="Q195" s="128">
        <f t="shared" si="52"/>
        <v>300</v>
      </c>
      <c r="R195" s="128"/>
      <c r="S195" s="128">
        <f t="shared" si="60"/>
        <v>0.28300839431273894</v>
      </c>
    </row>
    <row r="196" spans="1:19" ht="50.25" customHeight="1">
      <c r="A196" s="130" t="s">
        <v>433</v>
      </c>
      <c r="B196" s="158">
        <v>4</v>
      </c>
      <c r="C196" s="159">
        <v>5</v>
      </c>
      <c r="D196" s="160">
        <v>4030089051</v>
      </c>
      <c r="E196" s="199">
        <v>244</v>
      </c>
      <c r="F196" s="199">
        <v>226</v>
      </c>
      <c r="G196" s="132"/>
      <c r="H196" s="132">
        <v>300</v>
      </c>
      <c r="I196" s="132">
        <v>300</v>
      </c>
      <c r="J196" s="132">
        <v>299.8</v>
      </c>
      <c r="K196" s="128">
        <f t="shared" si="47"/>
        <v>0</v>
      </c>
      <c r="L196" s="128">
        <f t="shared" si="48"/>
        <v>100</v>
      </c>
      <c r="M196" s="128">
        <f t="shared" si="49"/>
        <v>-0.19999999999998863</v>
      </c>
      <c r="N196" s="128">
        <f t="shared" si="50"/>
        <v>99.933333333333337</v>
      </c>
      <c r="O196" s="128"/>
      <c r="P196" s="128">
        <f t="shared" si="51"/>
        <v>99.933333333333337</v>
      </c>
      <c r="Q196" s="128">
        <f t="shared" si="52"/>
        <v>300</v>
      </c>
      <c r="R196" s="128"/>
      <c r="S196" s="128">
        <f t="shared" si="60"/>
        <v>0.28300839431273894</v>
      </c>
    </row>
    <row r="197" spans="1:19" s="122" customFormat="1" ht="25.5" customHeight="1">
      <c r="A197" s="200" t="s">
        <v>369</v>
      </c>
      <c r="B197" s="124" t="s">
        <v>341</v>
      </c>
      <c r="C197" s="124" t="s">
        <v>370</v>
      </c>
      <c r="D197" s="124"/>
      <c r="E197" s="124"/>
      <c r="F197" s="124"/>
      <c r="G197" s="201">
        <f>G198</f>
        <v>3500</v>
      </c>
      <c r="H197" s="201">
        <f>H198</f>
        <v>3797.6</v>
      </c>
      <c r="I197" s="201">
        <f>I198</f>
        <v>3797.6</v>
      </c>
      <c r="J197" s="201">
        <f>J198</f>
        <v>3423.4628400000001</v>
      </c>
      <c r="K197" s="125">
        <f t="shared" si="47"/>
        <v>0</v>
      </c>
      <c r="L197" s="125">
        <f t="shared" si="48"/>
        <v>100</v>
      </c>
      <c r="M197" s="125">
        <f t="shared" si="49"/>
        <v>-374.13715999999977</v>
      </c>
      <c r="N197" s="125">
        <f t="shared" si="50"/>
        <v>90.148062987149785</v>
      </c>
      <c r="O197" s="125">
        <f t="shared" si="53"/>
        <v>97.813224000000005</v>
      </c>
      <c r="P197" s="125">
        <f t="shared" si="51"/>
        <v>90.148062987149785</v>
      </c>
      <c r="Q197" s="125">
        <f t="shared" si="52"/>
        <v>297.59999999999991</v>
      </c>
      <c r="R197" s="125">
        <f t="shared" si="54"/>
        <v>108.50285714285715</v>
      </c>
      <c r="S197" s="125">
        <f t="shared" si="60"/>
        <v>3.2317168823806841</v>
      </c>
    </row>
    <row r="198" spans="1:19" ht="31.5" customHeight="1">
      <c r="A198" s="190" t="s">
        <v>413</v>
      </c>
      <c r="B198" s="156">
        <v>4</v>
      </c>
      <c r="C198" s="157">
        <v>8</v>
      </c>
      <c r="D198" s="142">
        <v>4000000000</v>
      </c>
      <c r="E198" s="202"/>
      <c r="F198" s="202"/>
      <c r="G198" s="203">
        <f t="shared" ref="G198:J199" si="65">SUM(G199)</f>
        <v>3500</v>
      </c>
      <c r="H198" s="203">
        <f>SUM(H199)</f>
        <v>3797.6</v>
      </c>
      <c r="I198" s="203">
        <f t="shared" si="65"/>
        <v>3797.6</v>
      </c>
      <c r="J198" s="203">
        <f t="shared" si="65"/>
        <v>3423.4628400000001</v>
      </c>
      <c r="K198" s="128">
        <f t="shared" si="47"/>
        <v>0</v>
      </c>
      <c r="L198" s="128">
        <f t="shared" si="48"/>
        <v>100</v>
      </c>
      <c r="M198" s="128">
        <f t="shared" si="49"/>
        <v>-374.13715999999977</v>
      </c>
      <c r="N198" s="128">
        <f t="shared" si="50"/>
        <v>90.148062987149785</v>
      </c>
      <c r="O198" s="128">
        <f t="shared" si="53"/>
        <v>97.813224000000005</v>
      </c>
      <c r="P198" s="128">
        <f t="shared" si="51"/>
        <v>90.148062987149785</v>
      </c>
      <c r="Q198" s="128">
        <f t="shared" si="52"/>
        <v>297.59999999999991</v>
      </c>
      <c r="R198" s="128">
        <f t="shared" si="54"/>
        <v>108.50285714285715</v>
      </c>
      <c r="S198" s="128">
        <f t="shared" si="60"/>
        <v>3.2317168823806841</v>
      </c>
    </row>
    <row r="199" spans="1:19" ht="51.75" customHeight="1">
      <c r="A199" s="139" t="s">
        <v>519</v>
      </c>
      <c r="B199" s="156">
        <v>4</v>
      </c>
      <c r="C199" s="157">
        <v>8</v>
      </c>
      <c r="D199" s="143">
        <v>4030000000</v>
      </c>
      <c r="E199" s="202"/>
      <c r="F199" s="202"/>
      <c r="G199" s="203">
        <f t="shared" si="65"/>
        <v>3500</v>
      </c>
      <c r="H199" s="203">
        <f>SUM(H200)</f>
        <v>3797.6</v>
      </c>
      <c r="I199" s="203">
        <f t="shared" si="65"/>
        <v>3797.6</v>
      </c>
      <c r="J199" s="203">
        <f t="shared" si="65"/>
        <v>3423.4628400000001</v>
      </c>
      <c r="K199" s="128">
        <f t="shared" si="47"/>
        <v>0</v>
      </c>
      <c r="L199" s="128">
        <f t="shared" si="48"/>
        <v>100</v>
      </c>
      <c r="M199" s="128">
        <f t="shared" si="49"/>
        <v>-374.13715999999977</v>
      </c>
      <c r="N199" s="128">
        <f t="shared" si="50"/>
        <v>90.148062987149785</v>
      </c>
      <c r="O199" s="128">
        <f t="shared" si="53"/>
        <v>97.813224000000005</v>
      </c>
      <c r="P199" s="128">
        <f t="shared" si="51"/>
        <v>90.148062987149785</v>
      </c>
      <c r="Q199" s="128">
        <f t="shared" si="52"/>
        <v>297.59999999999991</v>
      </c>
      <c r="R199" s="128">
        <f t="shared" si="54"/>
        <v>108.50285714285715</v>
      </c>
      <c r="S199" s="128">
        <f t="shared" si="60"/>
        <v>3.2317168823806841</v>
      </c>
    </row>
    <row r="200" spans="1:19" ht="21" customHeight="1">
      <c r="A200" s="139" t="s">
        <v>504</v>
      </c>
      <c r="B200" s="156">
        <v>4</v>
      </c>
      <c r="C200" s="157">
        <v>8</v>
      </c>
      <c r="D200" s="143">
        <v>4030099990</v>
      </c>
      <c r="E200" s="202"/>
      <c r="F200" s="202"/>
      <c r="G200" s="203">
        <f>G201</f>
        <v>3500</v>
      </c>
      <c r="H200" s="203">
        <f>H201</f>
        <v>3797.6</v>
      </c>
      <c r="I200" s="203">
        <f>I201</f>
        <v>3797.6</v>
      </c>
      <c r="J200" s="203">
        <f>J201</f>
        <v>3423.4628400000001</v>
      </c>
      <c r="K200" s="128">
        <f t="shared" si="47"/>
        <v>0</v>
      </c>
      <c r="L200" s="128">
        <f t="shared" si="48"/>
        <v>100</v>
      </c>
      <c r="M200" s="128">
        <f t="shared" si="49"/>
        <v>-374.13715999999977</v>
      </c>
      <c r="N200" s="128">
        <f t="shared" si="50"/>
        <v>90.148062987149785</v>
      </c>
      <c r="O200" s="128">
        <f t="shared" si="53"/>
        <v>97.813224000000005</v>
      </c>
      <c r="P200" s="128">
        <f t="shared" si="51"/>
        <v>90.148062987149785</v>
      </c>
      <c r="Q200" s="128">
        <f t="shared" si="52"/>
        <v>297.59999999999991</v>
      </c>
      <c r="R200" s="128">
        <f t="shared" si="54"/>
        <v>108.50285714285715</v>
      </c>
      <c r="S200" s="128">
        <f t="shared" si="60"/>
        <v>3.2317168823806841</v>
      </c>
    </row>
    <row r="201" spans="1:19" ht="42.75" customHeight="1">
      <c r="A201" s="130" t="s">
        <v>431</v>
      </c>
      <c r="B201" s="156">
        <v>4</v>
      </c>
      <c r="C201" s="157">
        <v>8</v>
      </c>
      <c r="D201" s="143">
        <v>4030099990</v>
      </c>
      <c r="E201" s="202">
        <v>200</v>
      </c>
      <c r="F201" s="202"/>
      <c r="G201" s="203">
        <f>SUM(G202)</f>
        <v>3500</v>
      </c>
      <c r="H201" s="203">
        <f>SUM(H202)</f>
        <v>3797.6</v>
      </c>
      <c r="I201" s="203">
        <f>SUM(I202)</f>
        <v>3797.6</v>
      </c>
      <c r="J201" s="203">
        <f>SUM(J202)</f>
        <v>3423.4628400000001</v>
      </c>
      <c r="K201" s="128">
        <f t="shared" ref="K201:K274" si="66">I201-H201</f>
        <v>0</v>
      </c>
      <c r="L201" s="128">
        <f t="shared" ref="L201:L274" si="67">I201/H201*100</f>
        <v>100</v>
      </c>
      <c r="M201" s="128">
        <f t="shared" ref="M201:M274" si="68">J201-I201</f>
        <v>-374.13715999999977</v>
      </c>
      <c r="N201" s="128">
        <f t="shared" ref="N201:N274" si="69">J201/I201*100</f>
        <v>90.148062987149785</v>
      </c>
      <c r="O201" s="128">
        <f t="shared" si="53"/>
        <v>97.813224000000005</v>
      </c>
      <c r="P201" s="128">
        <f t="shared" ref="P201:P274" si="70">J201/H201*100</f>
        <v>90.148062987149785</v>
      </c>
      <c r="Q201" s="128">
        <f t="shared" ref="Q201:Q274" si="71">H201-G201</f>
        <v>297.59999999999991</v>
      </c>
      <c r="R201" s="128">
        <f t="shared" si="54"/>
        <v>108.50285714285715</v>
      </c>
      <c r="S201" s="128">
        <f t="shared" si="60"/>
        <v>3.2317168823806841</v>
      </c>
    </row>
    <row r="202" spans="1:19" ht="44.25" customHeight="1">
      <c r="A202" s="130" t="s">
        <v>433</v>
      </c>
      <c r="B202" s="156">
        <v>4</v>
      </c>
      <c r="C202" s="157">
        <v>8</v>
      </c>
      <c r="D202" s="143">
        <v>4030099990</v>
      </c>
      <c r="E202" s="202">
        <v>244</v>
      </c>
      <c r="F202" s="202">
        <v>222</v>
      </c>
      <c r="G202" s="203">
        <v>3500</v>
      </c>
      <c r="H202" s="203">
        <v>3797.6</v>
      </c>
      <c r="I202" s="203">
        <v>3797.6</v>
      </c>
      <c r="J202" s="203">
        <v>3423.4628400000001</v>
      </c>
      <c r="K202" s="128">
        <f t="shared" si="66"/>
        <v>0</v>
      </c>
      <c r="L202" s="128">
        <f t="shared" si="67"/>
        <v>100</v>
      </c>
      <c r="M202" s="128">
        <f t="shared" si="68"/>
        <v>-374.13715999999977</v>
      </c>
      <c r="N202" s="128">
        <f t="shared" si="69"/>
        <v>90.148062987149785</v>
      </c>
      <c r="O202" s="128">
        <f t="shared" si="53"/>
        <v>97.813224000000005</v>
      </c>
      <c r="P202" s="128">
        <f t="shared" si="70"/>
        <v>90.148062987149785</v>
      </c>
      <c r="Q202" s="128">
        <f t="shared" si="71"/>
        <v>297.59999999999991</v>
      </c>
      <c r="R202" s="128">
        <f t="shared" si="54"/>
        <v>108.50285714285715</v>
      </c>
      <c r="S202" s="128">
        <f t="shared" si="60"/>
        <v>3.2317168823806841</v>
      </c>
    </row>
    <row r="203" spans="1:19" s="122" customFormat="1" ht="33" customHeight="1">
      <c r="A203" s="204" t="s">
        <v>371</v>
      </c>
      <c r="B203" s="124" t="s">
        <v>341</v>
      </c>
      <c r="C203" s="124" t="s">
        <v>359</v>
      </c>
      <c r="D203" s="124"/>
      <c r="E203" s="124"/>
      <c r="F203" s="124"/>
      <c r="G203" s="125">
        <f t="shared" ref="G203:J204" si="72">G204</f>
        <v>11184.4</v>
      </c>
      <c r="H203" s="125">
        <f>H204</f>
        <v>21269.800000000003</v>
      </c>
      <c r="I203" s="125">
        <f t="shared" si="72"/>
        <v>21269.820749999999</v>
      </c>
      <c r="J203" s="125">
        <f t="shared" si="72"/>
        <v>20527.711869999999</v>
      </c>
      <c r="K203" s="125">
        <f t="shared" si="66"/>
        <v>2.0749999996041879E-2</v>
      </c>
      <c r="L203" s="125">
        <f t="shared" si="67"/>
        <v>100.00009755615942</v>
      </c>
      <c r="M203" s="125">
        <f t="shared" si="68"/>
        <v>-742.10887999999977</v>
      </c>
      <c r="N203" s="125">
        <f t="shared" si="69"/>
        <v>96.510977272810351</v>
      </c>
      <c r="O203" s="125">
        <f t="shared" si="53"/>
        <v>183.53878500411287</v>
      </c>
      <c r="P203" s="125">
        <f t="shared" si="70"/>
        <v>96.511071425213188</v>
      </c>
      <c r="Q203" s="125">
        <f t="shared" si="71"/>
        <v>10085.400000000003</v>
      </c>
      <c r="R203" s="125">
        <f t="shared" si="54"/>
        <v>190.17381352598267</v>
      </c>
      <c r="S203" s="125">
        <f t="shared" si="60"/>
        <v>19.377967896074889</v>
      </c>
    </row>
    <row r="204" spans="1:19" ht="35.25" customHeight="1">
      <c r="A204" s="126" t="s">
        <v>413</v>
      </c>
      <c r="B204" s="127" t="s">
        <v>341</v>
      </c>
      <c r="C204" s="127" t="s">
        <v>359</v>
      </c>
      <c r="D204" s="144">
        <v>4000000000</v>
      </c>
      <c r="E204" s="127"/>
      <c r="F204" s="127"/>
      <c r="G204" s="145">
        <f t="shared" si="72"/>
        <v>11184.4</v>
      </c>
      <c r="H204" s="145">
        <f>H205</f>
        <v>21269.800000000003</v>
      </c>
      <c r="I204" s="132">
        <f t="shared" si="72"/>
        <v>21269.820749999999</v>
      </c>
      <c r="J204" s="132">
        <f t="shared" si="72"/>
        <v>20527.711869999999</v>
      </c>
      <c r="K204" s="128">
        <f t="shared" si="66"/>
        <v>2.0749999996041879E-2</v>
      </c>
      <c r="L204" s="128">
        <f t="shared" si="67"/>
        <v>100.00009755615942</v>
      </c>
      <c r="M204" s="128">
        <f t="shared" si="68"/>
        <v>-742.10887999999977</v>
      </c>
      <c r="N204" s="128">
        <f t="shared" si="69"/>
        <v>96.510977272810351</v>
      </c>
      <c r="O204" s="128">
        <f t="shared" si="53"/>
        <v>183.53878500411287</v>
      </c>
      <c r="P204" s="128">
        <f t="shared" si="70"/>
        <v>96.511071425213188</v>
      </c>
      <c r="Q204" s="128">
        <f t="shared" si="71"/>
        <v>10085.400000000003</v>
      </c>
      <c r="R204" s="128">
        <f t="shared" si="54"/>
        <v>190.17381352598267</v>
      </c>
      <c r="S204" s="128">
        <f t="shared" si="60"/>
        <v>19.377967896074889</v>
      </c>
    </row>
    <row r="205" spans="1:19" ht="49.5" customHeight="1">
      <c r="A205" s="139" t="s">
        <v>519</v>
      </c>
      <c r="B205" s="127" t="s">
        <v>341</v>
      </c>
      <c r="C205" s="127" t="s">
        <v>359</v>
      </c>
      <c r="D205" s="127" t="s">
        <v>524</v>
      </c>
      <c r="E205" s="127"/>
      <c r="F205" s="127"/>
      <c r="G205" s="132">
        <f>G212+G215+G206+G209</f>
        <v>11184.4</v>
      </c>
      <c r="H205" s="132">
        <f>H212+H215+H206+H209</f>
        <v>21269.800000000003</v>
      </c>
      <c r="I205" s="132">
        <f>I212+I215+I206+I209</f>
        <v>21269.820749999999</v>
      </c>
      <c r="J205" s="132">
        <f>J212+J215+J206+J209</f>
        <v>20527.711869999999</v>
      </c>
      <c r="K205" s="128">
        <f t="shared" si="66"/>
        <v>2.0749999996041879E-2</v>
      </c>
      <c r="L205" s="128">
        <f t="shared" si="67"/>
        <v>100.00009755615942</v>
      </c>
      <c r="M205" s="128">
        <f t="shared" si="68"/>
        <v>-742.10887999999977</v>
      </c>
      <c r="N205" s="128">
        <f t="shared" si="69"/>
        <v>96.510977272810351</v>
      </c>
      <c r="O205" s="128">
        <f t="shared" si="53"/>
        <v>183.53878500411287</v>
      </c>
      <c r="P205" s="128">
        <f t="shared" si="70"/>
        <v>96.511071425213188</v>
      </c>
      <c r="Q205" s="128">
        <f t="shared" si="71"/>
        <v>10085.400000000003</v>
      </c>
      <c r="R205" s="128">
        <f t="shared" si="54"/>
        <v>190.17381352598267</v>
      </c>
      <c r="S205" s="128">
        <f t="shared" si="60"/>
        <v>19.377967896074889</v>
      </c>
    </row>
    <row r="206" spans="1:19" ht="64.5" customHeight="1">
      <c r="A206" s="205" t="s">
        <v>525</v>
      </c>
      <c r="B206" s="127" t="s">
        <v>341</v>
      </c>
      <c r="C206" s="127" t="s">
        <v>359</v>
      </c>
      <c r="D206" s="127" t="s">
        <v>526</v>
      </c>
      <c r="E206" s="127"/>
      <c r="F206" s="127"/>
      <c r="G206" s="132">
        <f>G207</f>
        <v>0</v>
      </c>
      <c r="H206" s="132">
        <f>H207</f>
        <v>6827.8</v>
      </c>
      <c r="I206" s="132">
        <f>I207</f>
        <v>6827.8251899999996</v>
      </c>
      <c r="J206" s="132">
        <f>J207</f>
        <v>6827.8251899999996</v>
      </c>
      <c r="K206" s="128">
        <f t="shared" si="66"/>
        <v>2.5189999999383872E-2</v>
      </c>
      <c r="L206" s="128">
        <f t="shared" si="67"/>
        <v>100.00036893289199</v>
      </c>
      <c r="M206" s="128">
        <f t="shared" si="68"/>
        <v>0</v>
      </c>
      <c r="N206" s="128">
        <f t="shared" si="69"/>
        <v>100</v>
      </c>
      <c r="O206" s="128"/>
      <c r="P206" s="128">
        <f t="shared" si="70"/>
        <v>100.00036893289199</v>
      </c>
      <c r="Q206" s="128">
        <f t="shared" si="71"/>
        <v>6827.8</v>
      </c>
      <c r="R206" s="128"/>
      <c r="S206" s="128">
        <f t="shared" si="60"/>
        <v>6.4454030809538736</v>
      </c>
    </row>
    <row r="207" spans="1:19" ht="44.25" customHeight="1">
      <c r="A207" s="130" t="s">
        <v>431</v>
      </c>
      <c r="B207" s="127" t="s">
        <v>341</v>
      </c>
      <c r="C207" s="127" t="s">
        <v>359</v>
      </c>
      <c r="D207" s="127" t="s">
        <v>526</v>
      </c>
      <c r="E207" s="202">
        <v>200</v>
      </c>
      <c r="F207" s="202"/>
      <c r="G207" s="203">
        <f>SUM(G208)</f>
        <v>0</v>
      </c>
      <c r="H207" s="203">
        <f>SUM(H208)</f>
        <v>6827.8</v>
      </c>
      <c r="I207" s="203">
        <f>SUM(I208)</f>
        <v>6827.8251899999996</v>
      </c>
      <c r="J207" s="203">
        <f>SUM(J208)</f>
        <v>6827.8251899999996</v>
      </c>
      <c r="K207" s="128">
        <f t="shared" si="66"/>
        <v>2.5189999999383872E-2</v>
      </c>
      <c r="L207" s="128">
        <f t="shared" si="67"/>
        <v>100.00036893289199</v>
      </c>
      <c r="M207" s="128">
        <f t="shared" si="68"/>
        <v>0</v>
      </c>
      <c r="N207" s="128">
        <f t="shared" si="69"/>
        <v>100</v>
      </c>
      <c r="O207" s="128"/>
      <c r="P207" s="128">
        <f t="shared" si="70"/>
        <v>100.00036893289199</v>
      </c>
      <c r="Q207" s="128">
        <f t="shared" si="71"/>
        <v>6827.8</v>
      </c>
      <c r="R207" s="128"/>
      <c r="S207" s="128">
        <f t="shared" si="60"/>
        <v>6.4454030809538736</v>
      </c>
    </row>
    <row r="208" spans="1:19" ht="45.75" customHeight="1">
      <c r="A208" s="130" t="s">
        <v>433</v>
      </c>
      <c r="B208" s="127" t="s">
        <v>341</v>
      </c>
      <c r="C208" s="127" t="s">
        <v>359</v>
      </c>
      <c r="D208" s="127" t="s">
        <v>526</v>
      </c>
      <c r="E208" s="202">
        <v>244</v>
      </c>
      <c r="F208" s="202">
        <v>225</v>
      </c>
      <c r="G208" s="203"/>
      <c r="H208" s="203">
        <v>6827.8</v>
      </c>
      <c r="I208" s="203">
        <v>6827.8251899999996</v>
      </c>
      <c r="J208" s="203">
        <v>6827.8251899999996</v>
      </c>
      <c r="K208" s="128">
        <f t="shared" si="66"/>
        <v>2.5189999999383872E-2</v>
      </c>
      <c r="L208" s="128">
        <f t="shared" si="67"/>
        <v>100.00036893289199</v>
      </c>
      <c r="M208" s="128">
        <f t="shared" si="68"/>
        <v>0</v>
      </c>
      <c r="N208" s="128">
        <f t="shared" si="69"/>
        <v>100</v>
      </c>
      <c r="O208" s="128"/>
      <c r="P208" s="128">
        <f t="shared" si="70"/>
        <v>100.00036893289199</v>
      </c>
      <c r="Q208" s="128">
        <f t="shared" si="71"/>
        <v>6827.8</v>
      </c>
      <c r="R208" s="128"/>
      <c r="S208" s="128">
        <f t="shared" si="60"/>
        <v>6.4454030809538736</v>
      </c>
    </row>
    <row r="209" spans="1:19" ht="57.75" customHeight="1">
      <c r="A209" s="205" t="s">
        <v>527</v>
      </c>
      <c r="B209" s="127" t="s">
        <v>341</v>
      </c>
      <c r="C209" s="127" t="s">
        <v>359</v>
      </c>
      <c r="D209" s="127" t="s">
        <v>528</v>
      </c>
      <c r="E209" s="127"/>
      <c r="F209" s="127"/>
      <c r="G209" s="132">
        <f>G210</f>
        <v>0</v>
      </c>
      <c r="H209" s="132">
        <f>H210</f>
        <v>359.4</v>
      </c>
      <c r="I209" s="132">
        <f>I210</f>
        <v>359.35899999999998</v>
      </c>
      <c r="J209" s="132">
        <f>J210</f>
        <v>359.35899999999998</v>
      </c>
      <c r="K209" s="128">
        <f t="shared" si="66"/>
        <v>-4.0999999999996817E-2</v>
      </c>
      <c r="L209" s="128">
        <f t="shared" si="67"/>
        <v>99.988592097941009</v>
      </c>
      <c r="M209" s="128">
        <f t="shared" si="68"/>
        <v>0</v>
      </c>
      <c r="N209" s="128">
        <f t="shared" si="69"/>
        <v>100</v>
      </c>
      <c r="O209" s="128"/>
      <c r="P209" s="128">
        <f t="shared" si="70"/>
        <v>99.988592097941009</v>
      </c>
      <c r="Q209" s="128">
        <f t="shared" si="71"/>
        <v>359.4</v>
      </c>
      <c r="R209" s="128"/>
      <c r="S209" s="128">
        <f t="shared" si="60"/>
        <v>0.33923153292805719</v>
      </c>
    </row>
    <row r="210" spans="1:19" ht="47.25" customHeight="1">
      <c r="A210" s="130" t="s">
        <v>431</v>
      </c>
      <c r="B210" s="127" t="s">
        <v>341</v>
      </c>
      <c r="C210" s="127" t="s">
        <v>359</v>
      </c>
      <c r="D210" s="127" t="s">
        <v>528</v>
      </c>
      <c r="E210" s="202">
        <v>200</v>
      </c>
      <c r="F210" s="202"/>
      <c r="G210" s="203">
        <f>SUM(G211)</f>
        <v>0</v>
      </c>
      <c r="H210" s="203">
        <f>SUM(H211)</f>
        <v>359.4</v>
      </c>
      <c r="I210" s="203">
        <f>SUM(I211)</f>
        <v>359.35899999999998</v>
      </c>
      <c r="J210" s="203">
        <f>SUM(J211)</f>
        <v>359.35899999999998</v>
      </c>
      <c r="K210" s="128">
        <f t="shared" si="66"/>
        <v>-4.0999999999996817E-2</v>
      </c>
      <c r="L210" s="128">
        <f t="shared" si="67"/>
        <v>99.988592097941009</v>
      </c>
      <c r="M210" s="128">
        <f t="shared" si="68"/>
        <v>0</v>
      </c>
      <c r="N210" s="128">
        <f t="shared" si="69"/>
        <v>100</v>
      </c>
      <c r="O210" s="128"/>
      <c r="P210" s="128">
        <f t="shared" si="70"/>
        <v>99.988592097941009</v>
      </c>
      <c r="Q210" s="128">
        <f t="shared" si="71"/>
        <v>359.4</v>
      </c>
      <c r="R210" s="128"/>
      <c r="S210" s="128">
        <f t="shared" si="60"/>
        <v>0.33923153292805719</v>
      </c>
    </row>
    <row r="211" spans="1:19" ht="45" customHeight="1">
      <c r="A211" s="130" t="s">
        <v>433</v>
      </c>
      <c r="B211" s="127" t="s">
        <v>341</v>
      </c>
      <c r="C211" s="127" t="s">
        <v>359</v>
      </c>
      <c r="D211" s="127" t="s">
        <v>528</v>
      </c>
      <c r="E211" s="202">
        <v>244</v>
      </c>
      <c r="F211" s="202">
        <v>225</v>
      </c>
      <c r="G211" s="203"/>
      <c r="H211" s="203">
        <v>359.4</v>
      </c>
      <c r="I211" s="203">
        <v>359.35899999999998</v>
      </c>
      <c r="J211" s="203">
        <v>359.35899999999998</v>
      </c>
      <c r="K211" s="128">
        <f t="shared" si="66"/>
        <v>-4.0999999999996817E-2</v>
      </c>
      <c r="L211" s="128">
        <f t="shared" si="67"/>
        <v>99.988592097941009</v>
      </c>
      <c r="M211" s="128">
        <f t="shared" si="68"/>
        <v>0</v>
      </c>
      <c r="N211" s="128">
        <f t="shared" si="69"/>
        <v>100</v>
      </c>
      <c r="O211" s="128"/>
      <c r="P211" s="128">
        <f t="shared" si="70"/>
        <v>99.988592097941009</v>
      </c>
      <c r="Q211" s="128">
        <f t="shared" si="71"/>
        <v>359.4</v>
      </c>
      <c r="R211" s="128"/>
      <c r="S211" s="128">
        <f t="shared" si="60"/>
        <v>0.33923153292805719</v>
      </c>
    </row>
    <row r="212" spans="1:19" s="162" customFormat="1" ht="48.75" customHeight="1">
      <c r="A212" s="150" t="s">
        <v>529</v>
      </c>
      <c r="B212" s="127" t="s">
        <v>341</v>
      </c>
      <c r="C212" s="127" t="s">
        <v>359</v>
      </c>
      <c r="D212" s="144">
        <v>4030089111</v>
      </c>
      <c r="E212" s="143"/>
      <c r="F212" s="143"/>
      <c r="G212" s="132">
        <f t="shared" ref="G212:J213" si="73">SUM(G213)</f>
        <v>1150</v>
      </c>
      <c r="H212" s="132">
        <f>SUM(H213)</f>
        <v>2210</v>
      </c>
      <c r="I212" s="132">
        <f t="shared" si="73"/>
        <v>2210</v>
      </c>
      <c r="J212" s="132">
        <f t="shared" si="73"/>
        <v>2210</v>
      </c>
      <c r="K212" s="128">
        <f t="shared" si="66"/>
        <v>0</v>
      </c>
      <c r="L212" s="128">
        <f t="shared" si="67"/>
        <v>100</v>
      </c>
      <c r="M212" s="128">
        <f t="shared" si="68"/>
        <v>0</v>
      </c>
      <c r="N212" s="128">
        <f t="shared" si="69"/>
        <v>100</v>
      </c>
      <c r="O212" s="128">
        <f t="shared" si="53"/>
        <v>192.17391304347825</v>
      </c>
      <c r="P212" s="128">
        <f t="shared" si="70"/>
        <v>100</v>
      </c>
      <c r="Q212" s="128">
        <f t="shared" si="71"/>
        <v>1060</v>
      </c>
      <c r="R212" s="128">
        <f t="shared" si="54"/>
        <v>192.17391304347825</v>
      </c>
      <c r="S212" s="128">
        <f t="shared" si="60"/>
        <v>2.086219317648943</v>
      </c>
    </row>
    <row r="213" spans="1:19" ht="48" customHeight="1">
      <c r="A213" s="126" t="s">
        <v>431</v>
      </c>
      <c r="B213" s="127" t="s">
        <v>341</v>
      </c>
      <c r="C213" s="127" t="s">
        <v>359</v>
      </c>
      <c r="D213" s="144">
        <v>4030089111</v>
      </c>
      <c r="E213" s="127" t="s">
        <v>432</v>
      </c>
      <c r="F213" s="127"/>
      <c r="G213" s="132">
        <f t="shared" si="73"/>
        <v>1150</v>
      </c>
      <c r="H213" s="132">
        <f>SUM(H214)</f>
        <v>2210</v>
      </c>
      <c r="I213" s="132">
        <f t="shared" si="73"/>
        <v>2210</v>
      </c>
      <c r="J213" s="132">
        <f t="shared" si="73"/>
        <v>2210</v>
      </c>
      <c r="K213" s="128">
        <f t="shared" si="66"/>
        <v>0</v>
      </c>
      <c r="L213" s="128">
        <f t="shared" si="67"/>
        <v>100</v>
      </c>
      <c r="M213" s="128">
        <f t="shared" si="68"/>
        <v>0</v>
      </c>
      <c r="N213" s="128">
        <f t="shared" si="69"/>
        <v>100</v>
      </c>
      <c r="O213" s="128">
        <f t="shared" ref="O213:O276" si="74">J213/G213*100</f>
        <v>192.17391304347825</v>
      </c>
      <c r="P213" s="128">
        <f t="shared" si="70"/>
        <v>100</v>
      </c>
      <c r="Q213" s="128">
        <f t="shared" si="71"/>
        <v>1060</v>
      </c>
      <c r="R213" s="128">
        <f t="shared" ref="R213:R276" si="75">H213/G213*100</f>
        <v>192.17391304347825</v>
      </c>
      <c r="S213" s="128">
        <f t="shared" si="60"/>
        <v>2.086219317648943</v>
      </c>
    </row>
    <row r="214" spans="1:19" ht="42" customHeight="1">
      <c r="A214" s="126" t="s">
        <v>433</v>
      </c>
      <c r="B214" s="127" t="s">
        <v>341</v>
      </c>
      <c r="C214" s="127" t="s">
        <v>359</v>
      </c>
      <c r="D214" s="144">
        <v>4030089111</v>
      </c>
      <c r="E214" s="127" t="s">
        <v>434</v>
      </c>
      <c r="F214" s="127" t="s">
        <v>452</v>
      </c>
      <c r="G214" s="132">
        <v>1150</v>
      </c>
      <c r="H214" s="132">
        <v>2210</v>
      </c>
      <c r="I214" s="132">
        <v>2210</v>
      </c>
      <c r="J214" s="132">
        <v>2210</v>
      </c>
      <c r="K214" s="128">
        <f t="shared" si="66"/>
        <v>0</v>
      </c>
      <c r="L214" s="128">
        <f t="shared" si="67"/>
        <v>100</v>
      </c>
      <c r="M214" s="128">
        <f t="shared" si="68"/>
        <v>0</v>
      </c>
      <c r="N214" s="128">
        <f t="shared" si="69"/>
        <v>100</v>
      </c>
      <c r="O214" s="128">
        <f t="shared" si="74"/>
        <v>192.17391304347825</v>
      </c>
      <c r="P214" s="128">
        <f t="shared" si="70"/>
        <v>100</v>
      </c>
      <c r="Q214" s="128">
        <f t="shared" si="71"/>
        <v>1060</v>
      </c>
      <c r="R214" s="128">
        <f t="shared" si="75"/>
        <v>192.17391304347825</v>
      </c>
      <c r="S214" s="128">
        <f t="shared" si="60"/>
        <v>2.086219317648943</v>
      </c>
    </row>
    <row r="215" spans="1:19" ht="24" customHeight="1">
      <c r="A215" s="126" t="s">
        <v>530</v>
      </c>
      <c r="B215" s="127" t="s">
        <v>341</v>
      </c>
      <c r="C215" s="127" t="s">
        <v>359</v>
      </c>
      <c r="D215" s="144">
        <v>4030099990</v>
      </c>
      <c r="E215" s="127"/>
      <c r="F215" s="127"/>
      <c r="G215" s="132">
        <f>G216+G222</f>
        <v>10034.4</v>
      </c>
      <c r="H215" s="132">
        <f>H216+H222</f>
        <v>11872.6</v>
      </c>
      <c r="I215" s="132">
        <f>I216+I222</f>
        <v>11872.636559999999</v>
      </c>
      <c r="J215" s="132">
        <f>J216+J222</f>
        <v>11130.527679999999</v>
      </c>
      <c r="K215" s="128">
        <f t="shared" si="66"/>
        <v>3.6559999998644344E-2</v>
      </c>
      <c r="L215" s="128">
        <f t="shared" si="67"/>
        <v>100.00030793591968</v>
      </c>
      <c r="M215" s="128">
        <f t="shared" si="68"/>
        <v>-742.10887999999977</v>
      </c>
      <c r="N215" s="128">
        <f t="shared" si="69"/>
        <v>93.749418031541268</v>
      </c>
      <c r="O215" s="128">
        <f t="shared" si="74"/>
        <v>110.92369927449572</v>
      </c>
      <c r="P215" s="128">
        <f t="shared" si="70"/>
        <v>93.749706719673867</v>
      </c>
      <c r="Q215" s="128">
        <f t="shared" si="71"/>
        <v>1838.2000000000007</v>
      </c>
      <c r="R215" s="128">
        <f t="shared" si="75"/>
        <v>118.31898269951368</v>
      </c>
      <c r="S215" s="128">
        <f t="shared" si="60"/>
        <v>10.507113964544013</v>
      </c>
    </row>
    <row r="216" spans="1:19" ht="44.25" customHeight="1">
      <c r="A216" s="126" t="s">
        <v>431</v>
      </c>
      <c r="B216" s="127" t="s">
        <v>341</v>
      </c>
      <c r="C216" s="127" t="s">
        <v>359</v>
      </c>
      <c r="D216" s="144">
        <v>4030099990</v>
      </c>
      <c r="E216" s="127" t="s">
        <v>432</v>
      </c>
      <c r="F216" s="127"/>
      <c r="G216" s="132">
        <f>G217</f>
        <v>10034.4</v>
      </c>
      <c r="H216" s="132">
        <f>H217</f>
        <v>11722.6</v>
      </c>
      <c r="I216" s="132">
        <f>I217</f>
        <v>11722.636559999999</v>
      </c>
      <c r="J216" s="132">
        <f>J217</f>
        <v>10980.527679999999</v>
      </c>
      <c r="K216" s="128">
        <f t="shared" si="66"/>
        <v>3.6559999998644344E-2</v>
      </c>
      <c r="L216" s="128">
        <f t="shared" si="67"/>
        <v>100.00031187620493</v>
      </c>
      <c r="M216" s="128">
        <f t="shared" si="68"/>
        <v>-742.10887999999977</v>
      </c>
      <c r="N216" s="128">
        <f t="shared" si="69"/>
        <v>93.669437108267743</v>
      </c>
      <c r="O216" s="128">
        <f t="shared" si="74"/>
        <v>109.42884158494776</v>
      </c>
      <c r="P216" s="128">
        <f t="shared" si="70"/>
        <v>93.669729240953359</v>
      </c>
      <c r="Q216" s="128">
        <f t="shared" si="71"/>
        <v>1688.2000000000007</v>
      </c>
      <c r="R216" s="128">
        <f t="shared" si="75"/>
        <v>116.82412500996573</v>
      </c>
      <c r="S216" s="128">
        <f t="shared" si="60"/>
        <v>10.365515368323496</v>
      </c>
    </row>
    <row r="217" spans="1:19" ht="48.75" customHeight="1">
      <c r="A217" s="126" t="s">
        <v>433</v>
      </c>
      <c r="B217" s="127" t="s">
        <v>341</v>
      </c>
      <c r="C217" s="127" t="s">
        <v>359</v>
      </c>
      <c r="D217" s="144">
        <v>4030099990</v>
      </c>
      <c r="E217" s="127" t="s">
        <v>450</v>
      </c>
      <c r="F217" s="127"/>
      <c r="G217" s="132">
        <v>10034.4</v>
      </c>
      <c r="H217" s="132">
        <v>11722.6</v>
      </c>
      <c r="I217" s="132">
        <f>I218+I219+I220+I221</f>
        <v>11722.636559999999</v>
      </c>
      <c r="J217" s="132">
        <f>J218+J219+J220+J221</f>
        <v>10980.527679999999</v>
      </c>
      <c r="K217" s="128">
        <f t="shared" si="66"/>
        <v>3.6559999998644344E-2</v>
      </c>
      <c r="L217" s="128">
        <f>I217/H217*100</f>
        <v>100.00031187620493</v>
      </c>
      <c r="M217" s="128">
        <f>J217-I217</f>
        <v>-742.10887999999977</v>
      </c>
      <c r="N217" s="128">
        <f t="shared" si="69"/>
        <v>93.669437108267743</v>
      </c>
      <c r="O217" s="128">
        <f t="shared" si="74"/>
        <v>109.42884158494776</v>
      </c>
      <c r="P217" s="128">
        <f t="shared" si="70"/>
        <v>93.669729240953359</v>
      </c>
      <c r="Q217" s="128">
        <f t="shared" si="71"/>
        <v>1688.2000000000007</v>
      </c>
      <c r="R217" s="128">
        <f t="shared" si="75"/>
        <v>116.82412500996573</v>
      </c>
      <c r="S217" s="128">
        <f t="shared" si="60"/>
        <v>10.365515368323496</v>
      </c>
    </row>
    <row r="218" spans="1:19" ht="23.25" customHeight="1">
      <c r="A218" s="126"/>
      <c r="B218" s="127" t="s">
        <v>341</v>
      </c>
      <c r="C218" s="127" t="s">
        <v>359</v>
      </c>
      <c r="D218" s="144">
        <v>4030099990</v>
      </c>
      <c r="E218" s="127" t="s">
        <v>434</v>
      </c>
      <c r="F218" s="127" t="s">
        <v>452</v>
      </c>
      <c r="G218" s="132"/>
      <c r="H218" s="132"/>
      <c r="I218" s="132">
        <v>6780.0395399999998</v>
      </c>
      <c r="J218" s="132">
        <v>6037.93066</v>
      </c>
      <c r="K218" s="128"/>
      <c r="L218" s="128"/>
      <c r="M218" s="128">
        <f>J218-I218</f>
        <v>-742.10887999999977</v>
      </c>
      <c r="N218" s="128"/>
      <c r="O218" s="128"/>
      <c r="P218" s="128"/>
      <c r="Q218" s="128"/>
      <c r="R218" s="128"/>
      <c r="S218" s="128"/>
    </row>
    <row r="219" spans="1:19" ht="23.25" customHeight="1">
      <c r="A219" s="126"/>
      <c r="B219" s="127" t="s">
        <v>341</v>
      </c>
      <c r="C219" s="127" t="s">
        <v>359</v>
      </c>
      <c r="D219" s="144">
        <v>4030099990</v>
      </c>
      <c r="E219" s="127" t="s">
        <v>434</v>
      </c>
      <c r="F219" s="127" t="s">
        <v>428</v>
      </c>
      <c r="G219" s="132"/>
      <c r="H219" s="132"/>
      <c r="I219" s="132">
        <v>111</v>
      </c>
      <c r="J219" s="132">
        <v>111</v>
      </c>
      <c r="K219" s="128"/>
      <c r="L219" s="128"/>
      <c r="M219" s="128">
        <f>J219-I219</f>
        <v>0</v>
      </c>
      <c r="N219" s="128"/>
      <c r="O219" s="128"/>
      <c r="P219" s="128"/>
      <c r="Q219" s="128"/>
      <c r="R219" s="128"/>
      <c r="S219" s="128"/>
    </row>
    <row r="220" spans="1:19" ht="21.75" customHeight="1">
      <c r="A220" s="126"/>
      <c r="B220" s="127" t="s">
        <v>341</v>
      </c>
      <c r="C220" s="127" t="s">
        <v>359</v>
      </c>
      <c r="D220" s="144">
        <v>4030099990</v>
      </c>
      <c r="E220" s="127" t="s">
        <v>434</v>
      </c>
      <c r="F220" s="127" t="s">
        <v>454</v>
      </c>
      <c r="G220" s="132"/>
      <c r="H220" s="132"/>
      <c r="I220" s="132">
        <v>4800</v>
      </c>
      <c r="J220" s="132">
        <v>4800</v>
      </c>
      <c r="K220" s="128"/>
      <c r="L220" s="128"/>
      <c r="M220" s="128">
        <f>J220-I220</f>
        <v>0</v>
      </c>
      <c r="N220" s="128"/>
      <c r="O220" s="128"/>
      <c r="P220" s="128"/>
      <c r="Q220" s="128"/>
      <c r="R220" s="128"/>
      <c r="S220" s="128"/>
    </row>
    <row r="221" spans="1:19" ht="18.75" customHeight="1">
      <c r="A221" s="126"/>
      <c r="B221" s="127" t="s">
        <v>341</v>
      </c>
      <c r="C221" s="127" t="s">
        <v>359</v>
      </c>
      <c r="D221" s="144">
        <v>4030099990</v>
      </c>
      <c r="E221" s="127" t="s">
        <v>434</v>
      </c>
      <c r="F221" s="127" t="s">
        <v>455</v>
      </c>
      <c r="G221" s="132"/>
      <c r="H221" s="132"/>
      <c r="I221" s="132">
        <v>31.597020000000001</v>
      </c>
      <c r="J221" s="132">
        <v>31.597020000000001</v>
      </c>
      <c r="K221" s="128"/>
      <c r="L221" s="128"/>
      <c r="M221" s="128">
        <f>J221-I221</f>
        <v>0</v>
      </c>
      <c r="N221" s="128"/>
      <c r="O221" s="128"/>
      <c r="P221" s="128"/>
      <c r="Q221" s="128"/>
      <c r="R221" s="128"/>
      <c r="S221" s="128"/>
    </row>
    <row r="222" spans="1:19" ht="24" customHeight="1">
      <c r="A222" s="126" t="s">
        <v>456</v>
      </c>
      <c r="B222" s="127" t="s">
        <v>341</v>
      </c>
      <c r="C222" s="127" t="s">
        <v>359</v>
      </c>
      <c r="D222" s="144">
        <v>4030099990</v>
      </c>
      <c r="E222" s="127" t="s">
        <v>457</v>
      </c>
      <c r="F222" s="127"/>
      <c r="G222" s="132">
        <f>SUM(G223)</f>
        <v>0</v>
      </c>
      <c r="H222" s="132">
        <f>SUM(H223)</f>
        <v>150</v>
      </c>
      <c r="I222" s="132">
        <f>SUM(I223)</f>
        <v>150</v>
      </c>
      <c r="J222" s="132">
        <f>SUM(J223)</f>
        <v>150</v>
      </c>
      <c r="K222" s="128">
        <f t="shared" si="66"/>
        <v>0</v>
      </c>
      <c r="L222" s="128">
        <f t="shared" si="67"/>
        <v>100</v>
      </c>
      <c r="M222" s="128">
        <f t="shared" si="68"/>
        <v>0</v>
      </c>
      <c r="N222" s="128">
        <f t="shared" si="69"/>
        <v>100</v>
      </c>
      <c r="O222" s="128"/>
      <c r="P222" s="128">
        <f t="shared" si="70"/>
        <v>100</v>
      </c>
      <c r="Q222" s="128">
        <f t="shared" si="71"/>
        <v>150</v>
      </c>
      <c r="R222" s="128"/>
      <c r="S222" s="128">
        <f t="shared" ref="S222:S238" si="76">J222/$J$386*100</f>
        <v>0.14159859622051649</v>
      </c>
    </row>
    <row r="223" spans="1:19" ht="24.75" customHeight="1">
      <c r="A223" s="126" t="s">
        <v>461</v>
      </c>
      <c r="B223" s="127" t="s">
        <v>341</v>
      </c>
      <c r="C223" s="127" t="s">
        <v>359</v>
      </c>
      <c r="D223" s="144">
        <v>4030099990</v>
      </c>
      <c r="E223" s="127" t="s">
        <v>462</v>
      </c>
      <c r="F223" s="127" t="s">
        <v>510</v>
      </c>
      <c r="G223" s="132"/>
      <c r="H223" s="132">
        <v>150</v>
      </c>
      <c r="I223" s="132">
        <v>150</v>
      </c>
      <c r="J223" s="132">
        <v>150</v>
      </c>
      <c r="K223" s="128">
        <f t="shared" si="66"/>
        <v>0</v>
      </c>
      <c r="L223" s="128">
        <f t="shared" si="67"/>
        <v>100</v>
      </c>
      <c r="M223" s="128">
        <f t="shared" si="68"/>
        <v>0</v>
      </c>
      <c r="N223" s="128">
        <f t="shared" si="69"/>
        <v>100</v>
      </c>
      <c r="O223" s="128"/>
      <c r="P223" s="128">
        <f t="shared" si="70"/>
        <v>100</v>
      </c>
      <c r="Q223" s="128">
        <f t="shared" si="71"/>
        <v>150</v>
      </c>
      <c r="R223" s="128"/>
      <c r="S223" s="128">
        <f t="shared" si="76"/>
        <v>0.14159859622051649</v>
      </c>
    </row>
    <row r="224" spans="1:19" s="122" customFormat="1" ht="19.5" customHeight="1">
      <c r="A224" s="206" t="s">
        <v>376</v>
      </c>
      <c r="B224" s="120" t="s">
        <v>368</v>
      </c>
      <c r="C224" s="120"/>
      <c r="D224" s="120"/>
      <c r="E224" s="120"/>
      <c r="F224" s="120"/>
      <c r="G224" s="121">
        <f>G225+G272+G249</f>
        <v>13465.099999999999</v>
      </c>
      <c r="H224" s="121">
        <f>H225+H272+H249</f>
        <v>28627.5</v>
      </c>
      <c r="I224" s="121">
        <f>I225+I272+I249</f>
        <v>28627.515719999999</v>
      </c>
      <c r="J224" s="121">
        <f>J225+J272+J249</f>
        <v>24676.533309999999</v>
      </c>
      <c r="K224" s="121">
        <f t="shared" si="66"/>
        <v>1.5719999999419088E-2</v>
      </c>
      <c r="L224" s="121">
        <f t="shared" si="67"/>
        <v>100.00005491223473</v>
      </c>
      <c r="M224" s="121">
        <f t="shared" si="68"/>
        <v>-3950.9824100000005</v>
      </c>
      <c r="N224" s="121">
        <f t="shared" si="69"/>
        <v>86.198654299437763</v>
      </c>
      <c r="O224" s="121">
        <f t="shared" si="74"/>
        <v>183.26290417449556</v>
      </c>
      <c r="P224" s="121">
        <f t="shared" si="70"/>
        <v>86.198701633045147</v>
      </c>
      <c r="Q224" s="121">
        <f t="shared" si="71"/>
        <v>15162.400000000001</v>
      </c>
      <c r="R224" s="121">
        <f t="shared" si="75"/>
        <v>212.60517931541543</v>
      </c>
      <c r="S224" s="121">
        <f t="shared" si="76"/>
        <v>23.294416508565433</v>
      </c>
    </row>
    <row r="225" spans="1:19" s="122" customFormat="1" ht="27" customHeight="1">
      <c r="A225" s="164" t="s">
        <v>531</v>
      </c>
      <c r="B225" s="124" t="s">
        <v>368</v>
      </c>
      <c r="C225" s="124" t="s">
        <v>332</v>
      </c>
      <c r="D225" s="124"/>
      <c r="E225" s="124"/>
      <c r="F225" s="124"/>
      <c r="G225" s="125">
        <f>G231+G226</f>
        <v>1085.8</v>
      </c>
      <c r="H225" s="125">
        <f>H231+H226</f>
        <v>4591.6000000000004</v>
      </c>
      <c r="I225" s="125">
        <f>I231+I226</f>
        <v>4591.5977600000006</v>
      </c>
      <c r="J225" s="125">
        <f>J231+J226</f>
        <v>3897.0918999999999</v>
      </c>
      <c r="K225" s="125">
        <f t="shared" si="66"/>
        <v>-2.2399999998015119E-3</v>
      </c>
      <c r="L225" s="125">
        <f t="shared" si="67"/>
        <v>99.999951215262655</v>
      </c>
      <c r="M225" s="125">
        <f t="shared" si="68"/>
        <v>-694.50586000000067</v>
      </c>
      <c r="N225" s="125">
        <f t="shared" si="69"/>
        <v>84.874418529204959</v>
      </c>
      <c r="O225" s="125">
        <f t="shared" si="74"/>
        <v>358.91433965739543</v>
      </c>
      <c r="P225" s="125">
        <f t="shared" si="70"/>
        <v>84.874377123442798</v>
      </c>
      <c r="Q225" s="125">
        <f t="shared" si="71"/>
        <v>3505.8</v>
      </c>
      <c r="R225" s="125">
        <f t="shared" si="75"/>
        <v>422.87714127832015</v>
      </c>
      <c r="S225" s="125">
        <f t="shared" si="76"/>
        <v>3.6788182825489693</v>
      </c>
    </row>
    <row r="226" spans="1:19" ht="46.5" customHeight="1">
      <c r="A226" s="126" t="s">
        <v>532</v>
      </c>
      <c r="B226" s="127" t="s">
        <v>368</v>
      </c>
      <c r="C226" s="127" t="s">
        <v>332</v>
      </c>
      <c r="D226" s="127" t="s">
        <v>533</v>
      </c>
      <c r="E226" s="144"/>
      <c r="F226" s="144"/>
      <c r="G226" s="128">
        <f t="shared" ref="G226:J227" si="77">G227</f>
        <v>0</v>
      </c>
      <c r="H226" s="128">
        <f>H227</f>
        <v>780</v>
      </c>
      <c r="I226" s="128">
        <f t="shared" si="77"/>
        <v>780</v>
      </c>
      <c r="J226" s="128">
        <f t="shared" si="77"/>
        <v>780</v>
      </c>
      <c r="K226" s="128">
        <f t="shared" si="66"/>
        <v>0</v>
      </c>
      <c r="L226" s="128">
        <f t="shared" si="67"/>
        <v>100</v>
      </c>
      <c r="M226" s="128">
        <f t="shared" si="68"/>
        <v>0</v>
      </c>
      <c r="N226" s="128">
        <f t="shared" si="69"/>
        <v>100</v>
      </c>
      <c r="O226" s="128"/>
      <c r="P226" s="128">
        <f t="shared" si="70"/>
        <v>100</v>
      </c>
      <c r="Q226" s="128">
        <f t="shared" si="71"/>
        <v>780</v>
      </c>
      <c r="R226" s="128"/>
      <c r="S226" s="128">
        <f t="shared" si="76"/>
        <v>0.73631270034668572</v>
      </c>
    </row>
    <row r="227" spans="1:19" ht="69.75" customHeight="1">
      <c r="A227" s="130" t="s">
        <v>534</v>
      </c>
      <c r="B227" s="127" t="s">
        <v>368</v>
      </c>
      <c r="C227" s="127" t="s">
        <v>332</v>
      </c>
      <c r="D227" s="207" t="s">
        <v>535</v>
      </c>
      <c r="E227" s="143"/>
      <c r="F227" s="143"/>
      <c r="G227" s="128">
        <f t="shared" si="77"/>
        <v>0</v>
      </c>
      <c r="H227" s="128">
        <f>H228</f>
        <v>780</v>
      </c>
      <c r="I227" s="128">
        <f t="shared" si="77"/>
        <v>780</v>
      </c>
      <c r="J227" s="128">
        <f t="shared" si="77"/>
        <v>780</v>
      </c>
      <c r="K227" s="128">
        <f t="shared" si="66"/>
        <v>0</v>
      </c>
      <c r="L227" s="128">
        <f t="shared" si="67"/>
        <v>100</v>
      </c>
      <c r="M227" s="128">
        <f t="shared" si="68"/>
        <v>0</v>
      </c>
      <c r="N227" s="128">
        <f t="shared" si="69"/>
        <v>100</v>
      </c>
      <c r="O227" s="128"/>
      <c r="P227" s="128">
        <f t="shared" si="70"/>
        <v>100</v>
      </c>
      <c r="Q227" s="128">
        <f t="shared" si="71"/>
        <v>780</v>
      </c>
      <c r="R227" s="128"/>
      <c r="S227" s="128">
        <f t="shared" si="76"/>
        <v>0.73631270034668572</v>
      </c>
    </row>
    <row r="228" spans="1:19" ht="38.25" customHeight="1">
      <c r="A228" s="173" t="s">
        <v>536</v>
      </c>
      <c r="B228" s="127" t="s">
        <v>368</v>
      </c>
      <c r="C228" s="127" t="s">
        <v>332</v>
      </c>
      <c r="D228" s="207" t="s">
        <v>537</v>
      </c>
      <c r="E228" s="143"/>
      <c r="F228" s="143"/>
      <c r="G228" s="128">
        <f>SUM(G229)</f>
        <v>0</v>
      </c>
      <c r="H228" s="128">
        <f>SUM(H229)</f>
        <v>780</v>
      </c>
      <c r="I228" s="128">
        <f>SUM(I229)</f>
        <v>780</v>
      </c>
      <c r="J228" s="128">
        <f>SUM(J229)</f>
        <v>780</v>
      </c>
      <c r="K228" s="128">
        <f t="shared" si="66"/>
        <v>0</v>
      </c>
      <c r="L228" s="128">
        <f t="shared" si="67"/>
        <v>100</v>
      </c>
      <c r="M228" s="128">
        <f t="shared" si="68"/>
        <v>0</v>
      </c>
      <c r="N228" s="128">
        <f t="shared" si="69"/>
        <v>100</v>
      </c>
      <c r="O228" s="128"/>
      <c r="P228" s="128">
        <f t="shared" si="70"/>
        <v>100</v>
      </c>
      <c r="Q228" s="128">
        <f t="shared" si="71"/>
        <v>780</v>
      </c>
      <c r="R228" s="128"/>
      <c r="S228" s="128">
        <f t="shared" si="76"/>
        <v>0.73631270034668572</v>
      </c>
    </row>
    <row r="229" spans="1:19" ht="39" customHeight="1">
      <c r="A229" s="126" t="s">
        <v>431</v>
      </c>
      <c r="B229" s="127" t="s">
        <v>368</v>
      </c>
      <c r="C229" s="127" t="s">
        <v>332</v>
      </c>
      <c r="D229" s="207" t="s">
        <v>537</v>
      </c>
      <c r="E229" s="143">
        <v>200</v>
      </c>
      <c r="F229" s="143"/>
      <c r="G229" s="132">
        <f>G230</f>
        <v>0</v>
      </c>
      <c r="H229" s="132">
        <f>H230</f>
        <v>780</v>
      </c>
      <c r="I229" s="132">
        <f>I230</f>
        <v>780</v>
      </c>
      <c r="J229" s="132">
        <f>J230</f>
        <v>780</v>
      </c>
      <c r="K229" s="128">
        <f t="shared" si="66"/>
        <v>0</v>
      </c>
      <c r="L229" s="128">
        <f t="shared" si="67"/>
        <v>100</v>
      </c>
      <c r="M229" s="128">
        <f t="shared" si="68"/>
        <v>0</v>
      </c>
      <c r="N229" s="128">
        <f t="shared" si="69"/>
        <v>100</v>
      </c>
      <c r="O229" s="128"/>
      <c r="P229" s="128">
        <f t="shared" si="70"/>
        <v>100</v>
      </c>
      <c r="Q229" s="128">
        <f t="shared" si="71"/>
        <v>780</v>
      </c>
      <c r="R229" s="128"/>
      <c r="S229" s="128">
        <f t="shared" si="76"/>
        <v>0.73631270034668572</v>
      </c>
    </row>
    <row r="230" spans="1:19" ht="48" customHeight="1">
      <c r="A230" s="126" t="s">
        <v>433</v>
      </c>
      <c r="B230" s="127" t="s">
        <v>368</v>
      </c>
      <c r="C230" s="127" t="s">
        <v>332</v>
      </c>
      <c r="D230" s="207" t="s">
        <v>537</v>
      </c>
      <c r="E230" s="143">
        <v>244</v>
      </c>
      <c r="F230" s="143">
        <v>226</v>
      </c>
      <c r="G230" s="132"/>
      <c r="H230" s="132">
        <v>780</v>
      </c>
      <c r="I230" s="132">
        <v>780</v>
      </c>
      <c r="J230" s="132">
        <v>780</v>
      </c>
      <c r="K230" s="128">
        <f t="shared" si="66"/>
        <v>0</v>
      </c>
      <c r="L230" s="128">
        <f t="shared" si="67"/>
        <v>100</v>
      </c>
      <c r="M230" s="128">
        <f t="shared" si="68"/>
        <v>0</v>
      </c>
      <c r="N230" s="128">
        <f t="shared" si="69"/>
        <v>100</v>
      </c>
      <c r="O230" s="128"/>
      <c r="P230" s="128">
        <f t="shared" si="70"/>
        <v>100</v>
      </c>
      <c r="Q230" s="128">
        <f t="shared" si="71"/>
        <v>780</v>
      </c>
      <c r="R230" s="128"/>
      <c r="S230" s="128">
        <f t="shared" si="76"/>
        <v>0.73631270034668572</v>
      </c>
    </row>
    <row r="231" spans="1:19" ht="35.25" customHeight="1">
      <c r="A231" s="173" t="s">
        <v>413</v>
      </c>
      <c r="B231" s="127" t="s">
        <v>368</v>
      </c>
      <c r="C231" s="127" t="s">
        <v>332</v>
      </c>
      <c r="D231" s="127" t="s">
        <v>414</v>
      </c>
      <c r="E231" s="174"/>
      <c r="F231" s="174"/>
      <c r="G231" s="132">
        <f>(G235)+G232</f>
        <v>1085.8</v>
      </c>
      <c r="H231" s="132">
        <f>(H235)+H232</f>
        <v>3811.6</v>
      </c>
      <c r="I231" s="132">
        <f>(I235)+I232</f>
        <v>3811.5977600000001</v>
      </c>
      <c r="J231" s="132">
        <f>(J235)+J232</f>
        <v>3117.0918999999999</v>
      </c>
      <c r="K231" s="128">
        <f t="shared" si="66"/>
        <v>-2.2399999998015119E-3</v>
      </c>
      <c r="L231" s="128">
        <f t="shared" si="67"/>
        <v>99.999941232028547</v>
      </c>
      <c r="M231" s="128">
        <f t="shared" si="68"/>
        <v>-694.50586000000021</v>
      </c>
      <c r="N231" s="128">
        <f t="shared" si="69"/>
        <v>81.779140829382797</v>
      </c>
      <c r="O231" s="128">
        <f t="shared" si="74"/>
        <v>287.07790569165593</v>
      </c>
      <c r="P231" s="128">
        <f t="shared" si="70"/>
        <v>81.779092769440652</v>
      </c>
      <c r="Q231" s="128">
        <f t="shared" si="71"/>
        <v>2725.8</v>
      </c>
      <c r="R231" s="128">
        <f t="shared" si="75"/>
        <v>351.04070731258059</v>
      </c>
      <c r="S231" s="128">
        <f t="shared" si="76"/>
        <v>2.9425055822022834</v>
      </c>
    </row>
    <row r="232" spans="1:19" ht="42" customHeight="1">
      <c r="A232" s="208" t="s">
        <v>538</v>
      </c>
      <c r="B232" s="127" t="s">
        <v>368</v>
      </c>
      <c r="C232" s="127" t="s">
        <v>332</v>
      </c>
      <c r="D232" s="154">
        <v>4010089107</v>
      </c>
      <c r="E232" s="127"/>
      <c r="F232" s="209"/>
      <c r="G232" s="210">
        <f>G233</f>
        <v>0</v>
      </c>
      <c r="H232" s="210">
        <f>H233</f>
        <v>30</v>
      </c>
      <c r="I232" s="210">
        <f>I233</f>
        <v>30</v>
      </c>
      <c r="J232" s="210">
        <f>J233</f>
        <v>30</v>
      </c>
      <c r="K232" s="128">
        <f t="shared" si="66"/>
        <v>0</v>
      </c>
      <c r="L232" s="128">
        <f t="shared" si="67"/>
        <v>100</v>
      </c>
      <c r="M232" s="128">
        <f t="shared" si="68"/>
        <v>0</v>
      </c>
      <c r="N232" s="128">
        <f t="shared" si="69"/>
        <v>100</v>
      </c>
      <c r="O232" s="128"/>
      <c r="P232" s="128">
        <f t="shared" si="70"/>
        <v>100</v>
      </c>
      <c r="Q232" s="128">
        <f t="shared" si="71"/>
        <v>30</v>
      </c>
      <c r="R232" s="128"/>
      <c r="S232" s="128">
        <f t="shared" si="76"/>
        <v>2.8319719244103293E-2</v>
      </c>
    </row>
    <row r="233" spans="1:19" ht="45" customHeight="1">
      <c r="A233" s="126" t="s">
        <v>431</v>
      </c>
      <c r="B233" s="127" t="s">
        <v>368</v>
      </c>
      <c r="C233" s="127" t="s">
        <v>332</v>
      </c>
      <c r="D233" s="154">
        <v>4010089107</v>
      </c>
      <c r="E233" s="155" t="s">
        <v>432</v>
      </c>
      <c r="F233" s="211"/>
      <c r="G233" s="210">
        <f>SUM(G234)</f>
        <v>0</v>
      </c>
      <c r="H233" s="210">
        <f>SUM(H234)</f>
        <v>30</v>
      </c>
      <c r="I233" s="210">
        <f>SUM(I234)</f>
        <v>30</v>
      </c>
      <c r="J233" s="210">
        <f>SUM(J234)</f>
        <v>30</v>
      </c>
      <c r="K233" s="128">
        <f t="shared" si="66"/>
        <v>0</v>
      </c>
      <c r="L233" s="128">
        <f t="shared" si="67"/>
        <v>100</v>
      </c>
      <c r="M233" s="128">
        <f t="shared" si="68"/>
        <v>0</v>
      </c>
      <c r="N233" s="128">
        <f t="shared" si="69"/>
        <v>100</v>
      </c>
      <c r="O233" s="128"/>
      <c r="P233" s="128">
        <f t="shared" si="70"/>
        <v>100</v>
      </c>
      <c r="Q233" s="128">
        <f t="shared" si="71"/>
        <v>30</v>
      </c>
      <c r="R233" s="128"/>
      <c r="S233" s="128">
        <f t="shared" si="76"/>
        <v>2.8319719244103293E-2</v>
      </c>
    </row>
    <row r="234" spans="1:19" ht="45" customHeight="1">
      <c r="A234" s="126" t="s">
        <v>433</v>
      </c>
      <c r="B234" s="127" t="s">
        <v>368</v>
      </c>
      <c r="C234" s="127" t="s">
        <v>332</v>
      </c>
      <c r="D234" s="154">
        <v>4010089107</v>
      </c>
      <c r="E234" s="155">
        <v>244</v>
      </c>
      <c r="F234" s="211">
        <v>225</v>
      </c>
      <c r="G234" s="210"/>
      <c r="H234" s="210">
        <v>30</v>
      </c>
      <c r="I234" s="210">
        <v>30</v>
      </c>
      <c r="J234" s="210">
        <v>30</v>
      </c>
      <c r="K234" s="128">
        <f t="shared" si="66"/>
        <v>0</v>
      </c>
      <c r="L234" s="128">
        <f t="shared" si="67"/>
        <v>100</v>
      </c>
      <c r="M234" s="128">
        <f t="shared" si="68"/>
        <v>0</v>
      </c>
      <c r="N234" s="128">
        <f t="shared" si="69"/>
        <v>100</v>
      </c>
      <c r="O234" s="128"/>
      <c r="P234" s="128">
        <f t="shared" si="70"/>
        <v>100</v>
      </c>
      <c r="Q234" s="128">
        <f t="shared" si="71"/>
        <v>30</v>
      </c>
      <c r="R234" s="128"/>
      <c r="S234" s="128">
        <f t="shared" si="76"/>
        <v>2.8319719244103293E-2</v>
      </c>
    </row>
    <row r="235" spans="1:19" ht="48.75" customHeight="1">
      <c r="A235" s="212" t="s">
        <v>539</v>
      </c>
      <c r="B235" s="127" t="s">
        <v>368</v>
      </c>
      <c r="C235" s="127" t="s">
        <v>332</v>
      </c>
      <c r="D235" s="213">
        <v>4060000000</v>
      </c>
      <c r="E235" s="174"/>
      <c r="F235" s="174"/>
      <c r="G235" s="132">
        <f>SUM(G236)+G242</f>
        <v>1085.8</v>
      </c>
      <c r="H235" s="132">
        <f>SUM(H236)+H242</f>
        <v>3781.6</v>
      </c>
      <c r="I235" s="132">
        <f>SUM(I236)+I242</f>
        <v>3781.5977600000001</v>
      </c>
      <c r="J235" s="132">
        <f>SUM(J236)+J242</f>
        <v>3087.0918999999999</v>
      </c>
      <c r="K235" s="128">
        <f t="shared" si="66"/>
        <v>-2.2399999998015119E-3</v>
      </c>
      <c r="L235" s="128">
        <f t="shared" si="67"/>
        <v>99.99994076581342</v>
      </c>
      <c r="M235" s="128">
        <f t="shared" si="68"/>
        <v>-694.50586000000021</v>
      </c>
      <c r="N235" s="128">
        <f t="shared" si="69"/>
        <v>81.634591935023778</v>
      </c>
      <c r="O235" s="128">
        <f t="shared" si="74"/>
        <v>284.31496592374288</v>
      </c>
      <c r="P235" s="128">
        <f t="shared" si="70"/>
        <v>81.634543579437278</v>
      </c>
      <c r="Q235" s="128">
        <f t="shared" si="71"/>
        <v>2695.8</v>
      </c>
      <c r="R235" s="128">
        <f t="shared" si="75"/>
        <v>348.27776754466754</v>
      </c>
      <c r="S235" s="128">
        <f t="shared" si="76"/>
        <v>2.9141858629581798</v>
      </c>
    </row>
    <row r="236" spans="1:19" ht="36.75" customHeight="1">
      <c r="A236" s="214" t="s">
        <v>540</v>
      </c>
      <c r="B236" s="127" t="s">
        <v>368</v>
      </c>
      <c r="C236" s="127" t="s">
        <v>332</v>
      </c>
      <c r="D236" s="213">
        <v>4060089102</v>
      </c>
      <c r="E236" s="174"/>
      <c r="F236" s="174"/>
      <c r="G236" s="132">
        <f t="shared" ref="G236:J237" si="78">SUM(G237)</f>
        <v>902</v>
      </c>
      <c r="H236" s="132">
        <f>SUM(H237)</f>
        <v>1230</v>
      </c>
      <c r="I236" s="132">
        <f t="shared" si="78"/>
        <v>1230</v>
      </c>
      <c r="J236" s="132">
        <f t="shared" si="78"/>
        <v>1229.9948999999999</v>
      </c>
      <c r="K236" s="128">
        <f t="shared" si="66"/>
        <v>0</v>
      </c>
      <c r="L236" s="128">
        <f t="shared" si="67"/>
        <v>100</v>
      </c>
      <c r="M236" s="128">
        <f t="shared" si="68"/>
        <v>-5.1000000000840373E-3</v>
      </c>
      <c r="N236" s="128">
        <f t="shared" si="69"/>
        <v>99.999585365853648</v>
      </c>
      <c r="O236" s="128">
        <f t="shared" si="74"/>
        <v>136.36307095343682</v>
      </c>
      <c r="P236" s="128">
        <f t="shared" si="70"/>
        <v>99.999585365853648</v>
      </c>
      <c r="Q236" s="128">
        <f t="shared" si="71"/>
        <v>328</v>
      </c>
      <c r="R236" s="128">
        <f t="shared" si="75"/>
        <v>136.36363636363635</v>
      </c>
      <c r="S236" s="128">
        <f t="shared" si="76"/>
        <v>1.1611036746559635</v>
      </c>
    </row>
    <row r="237" spans="1:19" ht="45.75" customHeight="1">
      <c r="A237" s="126" t="s">
        <v>431</v>
      </c>
      <c r="B237" s="127" t="s">
        <v>368</v>
      </c>
      <c r="C237" s="127" t="s">
        <v>332</v>
      </c>
      <c r="D237" s="213">
        <v>4060089102</v>
      </c>
      <c r="E237" s="127" t="s">
        <v>432</v>
      </c>
      <c r="F237" s="127"/>
      <c r="G237" s="132">
        <f t="shared" si="78"/>
        <v>902</v>
      </c>
      <c r="H237" s="132">
        <f>SUM(H238)</f>
        <v>1230</v>
      </c>
      <c r="I237" s="132">
        <f t="shared" si="78"/>
        <v>1230</v>
      </c>
      <c r="J237" s="132">
        <f t="shared" si="78"/>
        <v>1229.9948999999999</v>
      </c>
      <c r="K237" s="128">
        <f t="shared" si="66"/>
        <v>0</v>
      </c>
      <c r="L237" s="128">
        <f t="shared" si="67"/>
        <v>100</v>
      </c>
      <c r="M237" s="128">
        <f t="shared" si="68"/>
        <v>-5.1000000000840373E-3</v>
      </c>
      <c r="N237" s="128">
        <f t="shared" si="69"/>
        <v>99.999585365853648</v>
      </c>
      <c r="O237" s="128">
        <f t="shared" si="74"/>
        <v>136.36307095343682</v>
      </c>
      <c r="P237" s="128">
        <f t="shared" si="70"/>
        <v>99.999585365853648</v>
      </c>
      <c r="Q237" s="128">
        <f t="shared" si="71"/>
        <v>328</v>
      </c>
      <c r="R237" s="128">
        <f t="shared" si="75"/>
        <v>136.36363636363635</v>
      </c>
      <c r="S237" s="128">
        <f t="shared" si="76"/>
        <v>1.1611036746559635</v>
      </c>
    </row>
    <row r="238" spans="1:19" ht="49.5" customHeight="1">
      <c r="A238" s="126" t="s">
        <v>433</v>
      </c>
      <c r="B238" s="127" t="s">
        <v>368</v>
      </c>
      <c r="C238" s="127" t="s">
        <v>332</v>
      </c>
      <c r="D238" s="213">
        <v>4060089102</v>
      </c>
      <c r="E238" s="127" t="s">
        <v>450</v>
      </c>
      <c r="F238" s="127"/>
      <c r="G238" s="132">
        <v>902</v>
      </c>
      <c r="H238" s="132">
        <v>1230</v>
      </c>
      <c r="I238" s="132">
        <f>I239+I240+I241</f>
        <v>1230</v>
      </c>
      <c r="J238" s="132">
        <f>J239+J240+J241</f>
        <v>1229.9948999999999</v>
      </c>
      <c r="K238" s="128">
        <f t="shared" si="66"/>
        <v>0</v>
      </c>
      <c r="L238" s="128">
        <f t="shared" si="67"/>
        <v>100</v>
      </c>
      <c r="M238" s="128">
        <f t="shared" si="68"/>
        <v>-5.1000000000840373E-3</v>
      </c>
      <c r="N238" s="128">
        <f t="shared" si="69"/>
        <v>99.999585365853648</v>
      </c>
      <c r="O238" s="128">
        <f t="shared" si="74"/>
        <v>136.36307095343682</v>
      </c>
      <c r="P238" s="128">
        <f t="shared" si="70"/>
        <v>99.999585365853648</v>
      </c>
      <c r="Q238" s="128">
        <f t="shared" si="71"/>
        <v>328</v>
      </c>
      <c r="R238" s="128">
        <f t="shared" si="75"/>
        <v>136.36363636363635</v>
      </c>
      <c r="S238" s="128">
        <f t="shared" si="76"/>
        <v>1.1611036746559635</v>
      </c>
    </row>
    <row r="239" spans="1:19" ht="17.25" customHeight="1">
      <c r="A239" s="126"/>
      <c r="B239" s="127" t="s">
        <v>368</v>
      </c>
      <c r="C239" s="127" t="s">
        <v>332</v>
      </c>
      <c r="D239" s="213">
        <v>4060089102</v>
      </c>
      <c r="E239" s="127" t="s">
        <v>541</v>
      </c>
      <c r="F239" s="127" t="s">
        <v>452</v>
      </c>
      <c r="G239" s="132"/>
      <c r="H239" s="132"/>
      <c r="I239" s="132">
        <v>903.68939999999998</v>
      </c>
      <c r="J239" s="132">
        <v>903.68489999999997</v>
      </c>
      <c r="K239" s="128"/>
      <c r="L239" s="128"/>
      <c r="M239" s="128"/>
      <c r="N239" s="128"/>
      <c r="O239" s="128"/>
      <c r="P239" s="128"/>
      <c r="Q239" s="128"/>
      <c r="R239" s="128"/>
      <c r="S239" s="128"/>
    </row>
    <row r="240" spans="1:19" ht="21" customHeight="1">
      <c r="A240" s="126"/>
      <c r="B240" s="127" t="s">
        <v>368</v>
      </c>
      <c r="C240" s="127" t="s">
        <v>332</v>
      </c>
      <c r="D240" s="213">
        <v>4060089102</v>
      </c>
      <c r="E240" s="127" t="s">
        <v>434</v>
      </c>
      <c r="F240" s="127" t="s">
        <v>428</v>
      </c>
      <c r="G240" s="132"/>
      <c r="H240" s="132"/>
      <c r="I240" s="132">
        <v>129.94560000000001</v>
      </c>
      <c r="J240" s="132">
        <v>129.94499999999999</v>
      </c>
      <c r="K240" s="128"/>
      <c r="L240" s="128"/>
      <c r="M240" s="128"/>
      <c r="N240" s="128"/>
      <c r="O240" s="128"/>
      <c r="P240" s="128"/>
      <c r="Q240" s="128"/>
      <c r="R240" s="128"/>
      <c r="S240" s="128"/>
    </row>
    <row r="241" spans="1:19" ht="21.75" customHeight="1">
      <c r="A241" s="126"/>
      <c r="B241" s="127" t="s">
        <v>368</v>
      </c>
      <c r="C241" s="127" t="s">
        <v>332</v>
      </c>
      <c r="D241" s="213">
        <v>4060089102</v>
      </c>
      <c r="E241" s="127" t="s">
        <v>434</v>
      </c>
      <c r="F241" s="127" t="s">
        <v>455</v>
      </c>
      <c r="G241" s="132"/>
      <c r="H241" s="132"/>
      <c r="I241" s="132">
        <v>196.36500000000001</v>
      </c>
      <c r="J241" s="132">
        <v>196.36500000000001</v>
      </c>
      <c r="K241" s="128"/>
      <c r="L241" s="128"/>
      <c r="M241" s="128"/>
      <c r="N241" s="128"/>
      <c r="O241" s="128"/>
      <c r="P241" s="128"/>
      <c r="Q241" s="128"/>
      <c r="R241" s="128"/>
      <c r="S241" s="128"/>
    </row>
    <row r="242" spans="1:19" ht="23.25" customHeight="1">
      <c r="A242" s="139" t="s">
        <v>504</v>
      </c>
      <c r="B242" s="127" t="s">
        <v>368</v>
      </c>
      <c r="C242" s="127" t="s">
        <v>332</v>
      </c>
      <c r="D242" s="127" t="s">
        <v>542</v>
      </c>
      <c r="E242" s="144"/>
      <c r="F242" s="144"/>
      <c r="G242" s="132">
        <f t="shared" ref="G242:J243" si="79">SUM(G243)</f>
        <v>183.8</v>
      </c>
      <c r="H242" s="132">
        <f>SUM(H243)</f>
        <v>2551.6</v>
      </c>
      <c r="I242" s="132">
        <f t="shared" si="79"/>
        <v>2551.5977600000001</v>
      </c>
      <c r="J242" s="132">
        <f t="shared" si="79"/>
        <v>1857.097</v>
      </c>
      <c r="K242" s="128">
        <f t="shared" si="66"/>
        <v>-2.2399999998015119E-3</v>
      </c>
      <c r="L242" s="128">
        <f t="shared" si="67"/>
        <v>99.999912211945457</v>
      </c>
      <c r="M242" s="128">
        <f t="shared" si="68"/>
        <v>-694.50076000000013</v>
      </c>
      <c r="N242" s="128">
        <f t="shared" si="69"/>
        <v>72.781730299057784</v>
      </c>
      <c r="O242" s="128">
        <f t="shared" si="74"/>
        <v>1010.3900979325352</v>
      </c>
      <c r="P242" s="128">
        <f t="shared" si="70"/>
        <v>72.781666405392698</v>
      </c>
      <c r="Q242" s="128">
        <f t="shared" si="71"/>
        <v>2367.7999999999997</v>
      </c>
      <c r="R242" s="128">
        <f t="shared" si="75"/>
        <v>1388.2480957562568</v>
      </c>
      <c r="S242" s="128">
        <f>J242/$J$386*100</f>
        <v>1.7530821883022165</v>
      </c>
    </row>
    <row r="243" spans="1:19" ht="43.5" customHeight="1">
      <c r="A243" s="126" t="s">
        <v>431</v>
      </c>
      <c r="B243" s="127" t="s">
        <v>368</v>
      </c>
      <c r="C243" s="127" t="s">
        <v>332</v>
      </c>
      <c r="D243" s="127" t="s">
        <v>542</v>
      </c>
      <c r="E243" s="144">
        <v>200</v>
      </c>
      <c r="F243" s="144"/>
      <c r="G243" s="132">
        <f t="shared" si="79"/>
        <v>183.8</v>
      </c>
      <c r="H243" s="132">
        <f>SUM(H244)</f>
        <v>2551.6</v>
      </c>
      <c r="I243" s="132">
        <f t="shared" si="79"/>
        <v>2551.5977600000001</v>
      </c>
      <c r="J243" s="132">
        <f t="shared" si="79"/>
        <v>1857.097</v>
      </c>
      <c r="K243" s="128">
        <f t="shared" si="66"/>
        <v>-2.2399999998015119E-3</v>
      </c>
      <c r="L243" s="128">
        <f t="shared" si="67"/>
        <v>99.999912211945457</v>
      </c>
      <c r="M243" s="128">
        <f t="shared" si="68"/>
        <v>-694.50076000000013</v>
      </c>
      <c r="N243" s="128">
        <f t="shared" si="69"/>
        <v>72.781730299057784</v>
      </c>
      <c r="O243" s="128">
        <f t="shared" si="74"/>
        <v>1010.3900979325352</v>
      </c>
      <c r="P243" s="128">
        <f t="shared" si="70"/>
        <v>72.781666405392698</v>
      </c>
      <c r="Q243" s="128">
        <f t="shared" si="71"/>
        <v>2367.7999999999997</v>
      </c>
      <c r="R243" s="128">
        <f t="shared" si="75"/>
        <v>1388.2480957562568</v>
      </c>
      <c r="S243" s="128">
        <f>J243/$J$386*100</f>
        <v>1.7530821883022165</v>
      </c>
    </row>
    <row r="244" spans="1:19" ht="48.75" customHeight="1">
      <c r="A244" s="126" t="s">
        <v>433</v>
      </c>
      <c r="B244" s="127" t="s">
        <v>368</v>
      </c>
      <c r="C244" s="127" t="s">
        <v>332</v>
      </c>
      <c r="D244" s="127" t="s">
        <v>542</v>
      </c>
      <c r="E244" s="144">
        <v>240</v>
      </c>
      <c r="F244" s="144"/>
      <c r="G244" s="132">
        <v>183.8</v>
      </c>
      <c r="H244" s="132">
        <v>2551.6</v>
      </c>
      <c r="I244" s="132">
        <f>I246+I247+I248+I245</f>
        <v>2551.5977600000001</v>
      </c>
      <c r="J244" s="132">
        <f>J246+J247+J248+J245</f>
        <v>1857.097</v>
      </c>
      <c r="K244" s="128">
        <f t="shared" si="66"/>
        <v>-2.2399999998015119E-3</v>
      </c>
      <c r="L244" s="128">
        <f t="shared" si="67"/>
        <v>99.999912211945457</v>
      </c>
      <c r="M244" s="128">
        <f t="shared" si="68"/>
        <v>-694.50076000000013</v>
      </c>
      <c r="N244" s="128">
        <f t="shared" si="69"/>
        <v>72.781730299057784</v>
      </c>
      <c r="O244" s="128">
        <f t="shared" si="74"/>
        <v>1010.3900979325352</v>
      </c>
      <c r="P244" s="128">
        <f t="shared" si="70"/>
        <v>72.781666405392698</v>
      </c>
      <c r="Q244" s="128">
        <f t="shared" si="71"/>
        <v>2367.7999999999997</v>
      </c>
      <c r="R244" s="128">
        <f t="shared" si="75"/>
        <v>1388.2480957562568</v>
      </c>
      <c r="S244" s="128">
        <f>J244/$J$386*100</f>
        <v>1.7530821883022165</v>
      </c>
    </row>
    <row r="245" spans="1:19" ht="21.75" customHeight="1">
      <c r="A245" s="126"/>
      <c r="B245" s="127" t="s">
        <v>368</v>
      </c>
      <c r="C245" s="127" t="s">
        <v>332</v>
      </c>
      <c r="D245" s="127" t="s">
        <v>542</v>
      </c>
      <c r="E245" s="144">
        <v>243</v>
      </c>
      <c r="F245" s="144">
        <v>226</v>
      </c>
      <c r="G245" s="132"/>
      <c r="H245" s="132"/>
      <c r="I245" s="132">
        <v>339.1</v>
      </c>
      <c r="J245" s="132">
        <v>0</v>
      </c>
      <c r="K245" s="128"/>
      <c r="L245" s="128"/>
      <c r="M245" s="128"/>
      <c r="N245" s="128"/>
      <c r="O245" s="128"/>
      <c r="P245" s="128"/>
      <c r="Q245" s="128"/>
      <c r="R245" s="128"/>
      <c r="S245" s="128"/>
    </row>
    <row r="246" spans="1:19" ht="21" customHeight="1">
      <c r="A246" s="126"/>
      <c r="B246" s="127" t="s">
        <v>368</v>
      </c>
      <c r="C246" s="127" t="s">
        <v>332</v>
      </c>
      <c r="D246" s="127" t="s">
        <v>542</v>
      </c>
      <c r="E246" s="144">
        <v>244</v>
      </c>
      <c r="F246" s="144">
        <v>222</v>
      </c>
      <c r="G246" s="132"/>
      <c r="H246" s="132"/>
      <c r="I246" s="132">
        <v>4.4160000000000004</v>
      </c>
      <c r="J246" s="132">
        <v>4.4160000000000004</v>
      </c>
      <c r="K246" s="128"/>
      <c r="L246" s="128"/>
      <c r="M246" s="128"/>
      <c r="N246" s="128"/>
      <c r="O246" s="128"/>
      <c r="P246" s="128"/>
      <c r="Q246" s="128"/>
      <c r="R246" s="128"/>
      <c r="S246" s="128"/>
    </row>
    <row r="247" spans="1:19" ht="19.5" customHeight="1">
      <c r="A247" s="126"/>
      <c r="B247" s="127" t="s">
        <v>368</v>
      </c>
      <c r="C247" s="127" t="s">
        <v>332</v>
      </c>
      <c r="D247" s="127" t="s">
        <v>542</v>
      </c>
      <c r="E247" s="144">
        <v>244</v>
      </c>
      <c r="F247" s="144">
        <v>225</v>
      </c>
      <c r="G247" s="132"/>
      <c r="H247" s="132"/>
      <c r="I247" s="132">
        <v>1223.19398</v>
      </c>
      <c r="J247" s="132">
        <v>1139.4110000000001</v>
      </c>
      <c r="K247" s="128"/>
      <c r="L247" s="128"/>
      <c r="M247" s="128"/>
      <c r="N247" s="128"/>
      <c r="O247" s="128"/>
      <c r="P247" s="128"/>
      <c r="Q247" s="128"/>
      <c r="R247" s="128"/>
      <c r="S247" s="128"/>
    </row>
    <row r="248" spans="1:19" ht="19.5" customHeight="1">
      <c r="A248" s="126"/>
      <c r="B248" s="127" t="s">
        <v>368</v>
      </c>
      <c r="C248" s="127" t="s">
        <v>332</v>
      </c>
      <c r="D248" s="127" t="s">
        <v>542</v>
      </c>
      <c r="E248" s="144">
        <v>247</v>
      </c>
      <c r="F248" s="144">
        <v>223</v>
      </c>
      <c r="G248" s="132"/>
      <c r="H248" s="132"/>
      <c r="I248" s="132">
        <v>984.88778000000002</v>
      </c>
      <c r="J248" s="132">
        <v>713.27</v>
      </c>
      <c r="K248" s="128"/>
      <c r="L248" s="128"/>
      <c r="M248" s="128"/>
      <c r="N248" s="128"/>
      <c r="O248" s="128"/>
      <c r="P248" s="128"/>
      <c r="Q248" s="128"/>
      <c r="R248" s="128"/>
      <c r="S248" s="128"/>
    </row>
    <row r="249" spans="1:19" s="122" customFormat="1" ht="22.9" customHeight="1">
      <c r="A249" s="204" t="s">
        <v>543</v>
      </c>
      <c r="B249" s="124" t="s">
        <v>368</v>
      </c>
      <c r="C249" s="124" t="s">
        <v>338</v>
      </c>
      <c r="D249" s="124"/>
      <c r="E249" s="165"/>
      <c r="F249" s="165"/>
      <c r="G249" s="125">
        <f>G250</f>
        <v>9337.9</v>
      </c>
      <c r="H249" s="125">
        <f>H250</f>
        <v>8696.9</v>
      </c>
      <c r="I249" s="125">
        <f>I250</f>
        <v>8696.9249999999993</v>
      </c>
      <c r="J249" s="125">
        <f>J250</f>
        <v>8696.9249999999993</v>
      </c>
      <c r="K249" s="125">
        <f t="shared" si="66"/>
        <v>2.4999999999636202E-2</v>
      </c>
      <c r="L249" s="125">
        <f t="shared" si="67"/>
        <v>100.00028745874967</v>
      </c>
      <c r="M249" s="125">
        <f t="shared" si="68"/>
        <v>0</v>
      </c>
      <c r="N249" s="125">
        <f t="shared" si="69"/>
        <v>100</v>
      </c>
      <c r="O249" s="125">
        <f t="shared" si="74"/>
        <v>93.135769284314449</v>
      </c>
      <c r="P249" s="125">
        <f t="shared" si="70"/>
        <v>100.00028745874967</v>
      </c>
      <c r="Q249" s="125">
        <f t="shared" si="71"/>
        <v>-641</v>
      </c>
      <c r="R249" s="125">
        <f t="shared" si="75"/>
        <v>93.135501558166183</v>
      </c>
      <c r="S249" s="125">
        <f t="shared" ref="S249:S257" si="80">J249/$J$386*100</f>
        <v>8.2098158095674343</v>
      </c>
    </row>
    <row r="250" spans="1:19" ht="33" customHeight="1">
      <c r="A250" s="126" t="s">
        <v>413</v>
      </c>
      <c r="B250" s="158">
        <v>5</v>
      </c>
      <c r="C250" s="159">
        <v>2</v>
      </c>
      <c r="D250" s="127" t="s">
        <v>414</v>
      </c>
      <c r="E250" s="199"/>
      <c r="F250" s="199"/>
      <c r="G250" s="128">
        <f>SUM(G251)</f>
        <v>9337.9</v>
      </c>
      <c r="H250" s="128">
        <f>SUM(H251)</f>
        <v>8696.9</v>
      </c>
      <c r="I250" s="128">
        <f>SUM(I251)</f>
        <v>8696.9249999999993</v>
      </c>
      <c r="J250" s="128">
        <f>SUM(J251)</f>
        <v>8696.9249999999993</v>
      </c>
      <c r="K250" s="128">
        <f t="shared" si="66"/>
        <v>2.4999999999636202E-2</v>
      </c>
      <c r="L250" s="128">
        <f t="shared" si="67"/>
        <v>100.00028745874967</v>
      </c>
      <c r="M250" s="128">
        <f t="shared" si="68"/>
        <v>0</v>
      </c>
      <c r="N250" s="128">
        <f t="shared" si="69"/>
        <v>100</v>
      </c>
      <c r="O250" s="128">
        <f t="shared" si="74"/>
        <v>93.135769284314449</v>
      </c>
      <c r="P250" s="128">
        <f t="shared" si="70"/>
        <v>100.00028745874967</v>
      </c>
      <c r="Q250" s="128">
        <f t="shared" si="71"/>
        <v>-641</v>
      </c>
      <c r="R250" s="128">
        <f t="shared" si="75"/>
        <v>93.135501558166183</v>
      </c>
      <c r="S250" s="128">
        <f t="shared" si="80"/>
        <v>8.2098158095674343</v>
      </c>
    </row>
    <row r="251" spans="1:19" ht="46.5" customHeight="1">
      <c r="A251" s="147" t="s">
        <v>539</v>
      </c>
      <c r="B251" s="158">
        <v>5</v>
      </c>
      <c r="C251" s="159">
        <v>2</v>
      </c>
      <c r="D251" s="215">
        <v>4060000000</v>
      </c>
      <c r="E251" s="199"/>
      <c r="F251" s="199"/>
      <c r="G251" s="128">
        <f>G255+G263+G266+G252+G260</f>
        <v>9337.9</v>
      </c>
      <c r="H251" s="128">
        <f>H255+H263+H266+H252+H260</f>
        <v>8696.9</v>
      </c>
      <c r="I251" s="128">
        <f>I255+I263+I266+I252+I260</f>
        <v>8696.9249999999993</v>
      </c>
      <c r="J251" s="128">
        <f>J255+J263+J266+J252+J260</f>
        <v>8696.9249999999993</v>
      </c>
      <c r="K251" s="128">
        <f t="shared" si="66"/>
        <v>2.4999999999636202E-2</v>
      </c>
      <c r="L251" s="128">
        <f t="shared" si="67"/>
        <v>100.00028745874967</v>
      </c>
      <c r="M251" s="128">
        <f t="shared" si="68"/>
        <v>0</v>
      </c>
      <c r="N251" s="128">
        <f t="shared" si="69"/>
        <v>100</v>
      </c>
      <c r="O251" s="128">
        <f t="shared" si="74"/>
        <v>93.135769284314449</v>
      </c>
      <c r="P251" s="128">
        <f t="shared" si="70"/>
        <v>100.00028745874967</v>
      </c>
      <c r="Q251" s="128">
        <f t="shared" si="71"/>
        <v>-641</v>
      </c>
      <c r="R251" s="128">
        <f t="shared" si="75"/>
        <v>93.135501558166183</v>
      </c>
      <c r="S251" s="128">
        <f t="shared" si="80"/>
        <v>8.2098158095674343</v>
      </c>
    </row>
    <row r="252" spans="1:19" ht="82.5" customHeight="1">
      <c r="A252" s="216" t="s">
        <v>445</v>
      </c>
      <c r="B252" s="158"/>
      <c r="C252" s="159"/>
      <c r="D252" s="215">
        <v>4060085150</v>
      </c>
      <c r="E252" s="144"/>
      <c r="F252" s="144"/>
      <c r="G252" s="132">
        <f>G253</f>
        <v>0</v>
      </c>
      <c r="H252" s="132">
        <f>H253</f>
        <v>1079.0999999999999</v>
      </c>
      <c r="I252" s="132">
        <f>I253</f>
        <v>1079.0999999999999</v>
      </c>
      <c r="J252" s="132">
        <f>J253</f>
        <v>1079.0999999999999</v>
      </c>
      <c r="K252" s="128">
        <f t="shared" si="66"/>
        <v>0</v>
      </c>
      <c r="L252" s="128">
        <f t="shared" si="67"/>
        <v>100</v>
      </c>
      <c r="M252" s="128">
        <f t="shared" si="68"/>
        <v>0</v>
      </c>
      <c r="N252" s="128">
        <f t="shared" si="69"/>
        <v>100</v>
      </c>
      <c r="O252" s="128"/>
      <c r="P252" s="128">
        <f t="shared" si="70"/>
        <v>100</v>
      </c>
      <c r="Q252" s="128">
        <f t="shared" si="71"/>
        <v>1079.0999999999999</v>
      </c>
      <c r="R252" s="128"/>
      <c r="S252" s="128">
        <f t="shared" si="80"/>
        <v>1.0186603012103954</v>
      </c>
    </row>
    <row r="253" spans="1:19" ht="27.75" customHeight="1">
      <c r="A253" s="126" t="s">
        <v>456</v>
      </c>
      <c r="B253" s="158">
        <v>5</v>
      </c>
      <c r="C253" s="159">
        <v>2</v>
      </c>
      <c r="D253" s="215">
        <v>4060085150</v>
      </c>
      <c r="E253" s="144">
        <v>800</v>
      </c>
      <c r="F253" s="144"/>
      <c r="G253" s="132">
        <f>SUM(G254)</f>
        <v>0</v>
      </c>
      <c r="H253" s="132">
        <f>SUM(H254)</f>
        <v>1079.0999999999999</v>
      </c>
      <c r="I253" s="132">
        <f>SUM(I254)</f>
        <v>1079.0999999999999</v>
      </c>
      <c r="J253" s="132">
        <f>SUM(J254)</f>
        <v>1079.0999999999999</v>
      </c>
      <c r="K253" s="128">
        <f t="shared" si="66"/>
        <v>0</v>
      </c>
      <c r="L253" s="128">
        <f t="shared" si="67"/>
        <v>100</v>
      </c>
      <c r="M253" s="128">
        <f t="shared" si="68"/>
        <v>0</v>
      </c>
      <c r="N253" s="128">
        <f t="shared" si="69"/>
        <v>100</v>
      </c>
      <c r="O253" s="128"/>
      <c r="P253" s="128">
        <f t="shared" si="70"/>
        <v>100</v>
      </c>
      <c r="Q253" s="128">
        <f t="shared" si="71"/>
        <v>1079.0999999999999</v>
      </c>
      <c r="R253" s="128"/>
      <c r="S253" s="128">
        <f t="shared" si="80"/>
        <v>1.0186603012103954</v>
      </c>
    </row>
    <row r="254" spans="1:19" ht="70.5" customHeight="1">
      <c r="A254" s="126" t="s">
        <v>544</v>
      </c>
      <c r="B254" s="158">
        <v>5</v>
      </c>
      <c r="C254" s="159">
        <v>2</v>
      </c>
      <c r="D254" s="215">
        <v>4060085150</v>
      </c>
      <c r="E254" s="144">
        <v>811</v>
      </c>
      <c r="F254" s="144">
        <v>245</v>
      </c>
      <c r="G254" s="132"/>
      <c r="H254" s="132">
        <v>1079.0999999999999</v>
      </c>
      <c r="I254" s="132">
        <v>1079.0999999999999</v>
      </c>
      <c r="J254" s="132">
        <v>1079.0999999999999</v>
      </c>
      <c r="K254" s="128">
        <f t="shared" si="66"/>
        <v>0</v>
      </c>
      <c r="L254" s="128">
        <f t="shared" si="67"/>
        <v>100</v>
      </c>
      <c r="M254" s="128">
        <f t="shared" si="68"/>
        <v>0</v>
      </c>
      <c r="N254" s="128">
        <f t="shared" si="69"/>
        <v>100</v>
      </c>
      <c r="O254" s="128"/>
      <c r="P254" s="128">
        <f t="shared" si="70"/>
        <v>100</v>
      </c>
      <c r="Q254" s="128">
        <f t="shared" si="71"/>
        <v>1079.0999999999999</v>
      </c>
      <c r="R254" s="128"/>
      <c r="S254" s="128">
        <f t="shared" si="80"/>
        <v>1.0186603012103954</v>
      </c>
    </row>
    <row r="255" spans="1:19" s="162" customFormat="1" ht="61.5" customHeight="1">
      <c r="A255" s="168" t="s">
        <v>545</v>
      </c>
      <c r="B255" s="158">
        <v>5</v>
      </c>
      <c r="C255" s="159">
        <v>2</v>
      </c>
      <c r="D255" s="215">
        <v>4060089101</v>
      </c>
      <c r="E255" s="199"/>
      <c r="F255" s="199"/>
      <c r="G255" s="132">
        <f t="shared" ref="G255:J256" si="81">SUM(G256)</f>
        <v>221</v>
      </c>
      <c r="H255" s="132">
        <f>SUM(H256)</f>
        <v>1121</v>
      </c>
      <c r="I255" s="132">
        <f t="shared" si="81"/>
        <v>1121</v>
      </c>
      <c r="J255" s="132">
        <f t="shared" si="81"/>
        <v>1121</v>
      </c>
      <c r="K255" s="128">
        <f t="shared" si="66"/>
        <v>0</v>
      </c>
      <c r="L255" s="128">
        <f t="shared" si="67"/>
        <v>100</v>
      </c>
      <c r="M255" s="128">
        <f t="shared" si="68"/>
        <v>0</v>
      </c>
      <c r="N255" s="128">
        <f t="shared" si="69"/>
        <v>100</v>
      </c>
      <c r="O255" s="128">
        <f t="shared" si="74"/>
        <v>507.23981900452486</v>
      </c>
      <c r="P255" s="128">
        <f t="shared" si="70"/>
        <v>100</v>
      </c>
      <c r="Q255" s="128">
        <f t="shared" si="71"/>
        <v>900</v>
      </c>
      <c r="R255" s="128">
        <f t="shared" si="75"/>
        <v>507.23981900452486</v>
      </c>
      <c r="S255" s="128">
        <f t="shared" si="80"/>
        <v>1.0582135090879932</v>
      </c>
    </row>
    <row r="256" spans="1:19" ht="42.75" customHeight="1">
      <c r="A256" s="126" t="s">
        <v>431</v>
      </c>
      <c r="B256" s="158">
        <v>5</v>
      </c>
      <c r="C256" s="159">
        <v>2</v>
      </c>
      <c r="D256" s="215">
        <v>4060089101</v>
      </c>
      <c r="E256" s="144">
        <v>200</v>
      </c>
      <c r="F256" s="144"/>
      <c r="G256" s="132">
        <f t="shared" si="81"/>
        <v>221</v>
      </c>
      <c r="H256" s="132">
        <f>SUM(H257)</f>
        <v>1121</v>
      </c>
      <c r="I256" s="132">
        <f t="shared" si="81"/>
        <v>1121</v>
      </c>
      <c r="J256" s="132">
        <f t="shared" si="81"/>
        <v>1121</v>
      </c>
      <c r="K256" s="128">
        <f t="shared" si="66"/>
        <v>0</v>
      </c>
      <c r="L256" s="128">
        <f t="shared" si="67"/>
        <v>100</v>
      </c>
      <c r="M256" s="128">
        <f t="shared" si="68"/>
        <v>0</v>
      </c>
      <c r="N256" s="128">
        <f t="shared" si="69"/>
        <v>100</v>
      </c>
      <c r="O256" s="128">
        <f t="shared" si="74"/>
        <v>507.23981900452486</v>
      </c>
      <c r="P256" s="128">
        <f t="shared" si="70"/>
        <v>100</v>
      </c>
      <c r="Q256" s="128">
        <f t="shared" si="71"/>
        <v>900</v>
      </c>
      <c r="R256" s="128">
        <f t="shared" si="75"/>
        <v>507.23981900452486</v>
      </c>
      <c r="S256" s="128">
        <f t="shared" si="80"/>
        <v>1.0582135090879932</v>
      </c>
    </row>
    <row r="257" spans="1:19" ht="48" customHeight="1">
      <c r="A257" s="126" t="s">
        <v>433</v>
      </c>
      <c r="B257" s="158">
        <v>5</v>
      </c>
      <c r="C257" s="159">
        <v>2</v>
      </c>
      <c r="D257" s="215">
        <v>4060089101</v>
      </c>
      <c r="E257" s="144">
        <v>240</v>
      </c>
      <c r="F257" s="144"/>
      <c r="G257" s="132">
        <v>221</v>
      </c>
      <c r="H257" s="132">
        <v>1121</v>
      </c>
      <c r="I257" s="132">
        <f>I258+I259</f>
        <v>1121</v>
      </c>
      <c r="J257" s="132">
        <f>J258+J259</f>
        <v>1121</v>
      </c>
      <c r="K257" s="128">
        <f t="shared" si="66"/>
        <v>0</v>
      </c>
      <c r="L257" s="128">
        <f t="shared" si="67"/>
        <v>100</v>
      </c>
      <c r="M257" s="128">
        <f t="shared" si="68"/>
        <v>0</v>
      </c>
      <c r="N257" s="128">
        <f t="shared" si="69"/>
        <v>100</v>
      </c>
      <c r="O257" s="128">
        <f t="shared" si="74"/>
        <v>507.23981900452486</v>
      </c>
      <c r="P257" s="128">
        <f t="shared" si="70"/>
        <v>100</v>
      </c>
      <c r="Q257" s="128">
        <f t="shared" si="71"/>
        <v>900</v>
      </c>
      <c r="R257" s="128">
        <f t="shared" si="75"/>
        <v>507.23981900452486</v>
      </c>
      <c r="S257" s="128">
        <f t="shared" si="80"/>
        <v>1.0582135090879932</v>
      </c>
    </row>
    <row r="258" spans="1:19" ht="21.75" customHeight="1">
      <c r="A258" s="126"/>
      <c r="B258" s="158">
        <v>5</v>
      </c>
      <c r="C258" s="159">
        <v>2</v>
      </c>
      <c r="D258" s="215">
        <v>4060089101</v>
      </c>
      <c r="E258" s="144">
        <v>244</v>
      </c>
      <c r="F258" s="144">
        <v>310</v>
      </c>
      <c r="G258" s="132"/>
      <c r="H258" s="132"/>
      <c r="I258" s="132">
        <v>843</v>
      </c>
      <c r="J258" s="132">
        <v>843</v>
      </c>
      <c r="K258" s="128"/>
      <c r="L258" s="128"/>
      <c r="M258" s="128"/>
      <c r="N258" s="128"/>
      <c r="O258" s="128"/>
      <c r="P258" s="128"/>
      <c r="Q258" s="128"/>
      <c r="R258" s="128"/>
      <c r="S258" s="128"/>
    </row>
    <row r="259" spans="1:19" ht="24" customHeight="1">
      <c r="A259" s="126"/>
      <c r="B259" s="158">
        <v>5</v>
      </c>
      <c r="C259" s="159">
        <v>2</v>
      </c>
      <c r="D259" s="215">
        <v>4060089101</v>
      </c>
      <c r="E259" s="144">
        <v>244</v>
      </c>
      <c r="F259" s="144">
        <v>346</v>
      </c>
      <c r="G259" s="132"/>
      <c r="H259" s="132"/>
      <c r="I259" s="132">
        <v>278</v>
      </c>
      <c r="J259" s="132">
        <v>278</v>
      </c>
      <c r="K259" s="128"/>
      <c r="L259" s="128"/>
      <c r="M259" s="128"/>
      <c r="N259" s="128"/>
      <c r="O259" s="128"/>
      <c r="P259" s="128"/>
      <c r="Q259" s="128"/>
      <c r="R259" s="128"/>
      <c r="S259" s="128"/>
    </row>
    <row r="260" spans="1:19" ht="59.25" customHeight="1">
      <c r="A260" s="126" t="s">
        <v>546</v>
      </c>
      <c r="B260" s="158"/>
      <c r="C260" s="159"/>
      <c r="D260" s="215">
        <v>4060089105</v>
      </c>
      <c r="E260" s="199"/>
      <c r="F260" s="199"/>
      <c r="G260" s="128">
        <f t="shared" ref="G260:J261" si="82">SUM(G261)</f>
        <v>5116.8999999999996</v>
      </c>
      <c r="H260" s="128">
        <f>SUM(H261)</f>
        <v>460</v>
      </c>
      <c r="I260" s="128">
        <f t="shared" si="82"/>
        <v>460</v>
      </c>
      <c r="J260" s="128">
        <f t="shared" si="82"/>
        <v>460</v>
      </c>
      <c r="K260" s="128">
        <f t="shared" si="66"/>
        <v>0</v>
      </c>
      <c r="L260" s="128">
        <f t="shared" si="67"/>
        <v>100</v>
      </c>
      <c r="M260" s="128">
        <f t="shared" si="68"/>
        <v>0</v>
      </c>
      <c r="N260" s="128">
        <f t="shared" si="69"/>
        <v>100</v>
      </c>
      <c r="O260" s="128">
        <f t="shared" si="74"/>
        <v>8.9898180538998229</v>
      </c>
      <c r="P260" s="128">
        <f t="shared" si="70"/>
        <v>100</v>
      </c>
      <c r="Q260" s="128">
        <f t="shared" si="71"/>
        <v>-4656.8999999999996</v>
      </c>
      <c r="R260" s="128">
        <f t="shared" si="75"/>
        <v>8.9898180538998229</v>
      </c>
      <c r="S260" s="128">
        <f t="shared" ref="S260:S268" si="83">J260/$J$386*100</f>
        <v>0.43423569507625054</v>
      </c>
    </row>
    <row r="261" spans="1:19" ht="45.75" customHeight="1">
      <c r="A261" s="126" t="s">
        <v>431</v>
      </c>
      <c r="B261" s="158">
        <v>5</v>
      </c>
      <c r="C261" s="159">
        <v>2</v>
      </c>
      <c r="D261" s="215">
        <v>4060089105</v>
      </c>
      <c r="E261" s="144">
        <v>200</v>
      </c>
      <c r="F261" s="144"/>
      <c r="G261" s="128">
        <f t="shared" si="82"/>
        <v>5116.8999999999996</v>
      </c>
      <c r="H261" s="128">
        <f>SUM(H262)</f>
        <v>460</v>
      </c>
      <c r="I261" s="128">
        <f t="shared" si="82"/>
        <v>460</v>
      </c>
      <c r="J261" s="128">
        <f t="shared" si="82"/>
        <v>460</v>
      </c>
      <c r="K261" s="128">
        <f t="shared" si="66"/>
        <v>0</v>
      </c>
      <c r="L261" s="128">
        <f t="shared" si="67"/>
        <v>100</v>
      </c>
      <c r="M261" s="128">
        <f t="shared" si="68"/>
        <v>0</v>
      </c>
      <c r="N261" s="128">
        <f t="shared" si="69"/>
        <v>100</v>
      </c>
      <c r="O261" s="128">
        <f t="shared" si="74"/>
        <v>8.9898180538998229</v>
      </c>
      <c r="P261" s="128">
        <f t="shared" si="70"/>
        <v>100</v>
      </c>
      <c r="Q261" s="128">
        <f t="shared" si="71"/>
        <v>-4656.8999999999996</v>
      </c>
      <c r="R261" s="128">
        <f t="shared" si="75"/>
        <v>8.9898180538998229</v>
      </c>
      <c r="S261" s="128">
        <f t="shared" si="83"/>
        <v>0.43423569507625054</v>
      </c>
    </row>
    <row r="262" spans="1:19" ht="45.75" customHeight="1">
      <c r="A262" s="126" t="s">
        <v>433</v>
      </c>
      <c r="B262" s="158">
        <v>5</v>
      </c>
      <c r="C262" s="159">
        <v>2</v>
      </c>
      <c r="D262" s="215">
        <v>4060089105</v>
      </c>
      <c r="E262" s="144">
        <v>244</v>
      </c>
      <c r="F262" s="144">
        <v>225</v>
      </c>
      <c r="G262" s="128">
        <v>5116.8999999999996</v>
      </c>
      <c r="H262" s="128">
        <v>460</v>
      </c>
      <c r="I262" s="128">
        <v>460</v>
      </c>
      <c r="J262" s="128">
        <v>460</v>
      </c>
      <c r="K262" s="128">
        <f t="shared" si="66"/>
        <v>0</v>
      </c>
      <c r="L262" s="128">
        <f t="shared" si="67"/>
        <v>100</v>
      </c>
      <c r="M262" s="128">
        <f t="shared" si="68"/>
        <v>0</v>
      </c>
      <c r="N262" s="128">
        <f t="shared" si="69"/>
        <v>100</v>
      </c>
      <c r="O262" s="128">
        <f t="shared" si="74"/>
        <v>8.9898180538998229</v>
      </c>
      <c r="P262" s="128">
        <f t="shared" si="70"/>
        <v>100</v>
      </c>
      <c r="Q262" s="128">
        <f t="shared" si="71"/>
        <v>-4656.8999999999996</v>
      </c>
      <c r="R262" s="128">
        <f t="shared" si="75"/>
        <v>8.9898180538998229</v>
      </c>
      <c r="S262" s="128">
        <f t="shared" si="83"/>
        <v>0.43423569507625054</v>
      </c>
    </row>
    <row r="263" spans="1:19" ht="21.75" customHeight="1">
      <c r="A263" s="126" t="s">
        <v>547</v>
      </c>
      <c r="B263" s="158">
        <v>5</v>
      </c>
      <c r="C263" s="159">
        <v>2</v>
      </c>
      <c r="D263" s="199">
        <v>4060061100</v>
      </c>
      <c r="E263" s="144"/>
      <c r="F263" s="144"/>
      <c r="G263" s="132">
        <f t="shared" ref="G263:J264" si="84">SUM(G264)</f>
        <v>4000</v>
      </c>
      <c r="H263" s="132">
        <f>SUM(H264)</f>
        <v>4000</v>
      </c>
      <c r="I263" s="132">
        <f t="shared" si="84"/>
        <v>4000</v>
      </c>
      <c r="J263" s="132">
        <f t="shared" si="84"/>
        <v>4000</v>
      </c>
      <c r="K263" s="128">
        <f t="shared" si="66"/>
        <v>0</v>
      </c>
      <c r="L263" s="128">
        <f t="shared" si="67"/>
        <v>100</v>
      </c>
      <c r="M263" s="128">
        <f t="shared" si="68"/>
        <v>0</v>
      </c>
      <c r="N263" s="128">
        <f t="shared" si="69"/>
        <v>100</v>
      </c>
      <c r="O263" s="128">
        <f t="shared" si="74"/>
        <v>100</v>
      </c>
      <c r="P263" s="128">
        <f t="shared" si="70"/>
        <v>100</v>
      </c>
      <c r="Q263" s="128">
        <f t="shared" si="71"/>
        <v>0</v>
      </c>
      <c r="R263" s="128">
        <f t="shared" si="75"/>
        <v>100</v>
      </c>
      <c r="S263" s="128">
        <f t="shared" si="83"/>
        <v>3.7759625658804392</v>
      </c>
    </row>
    <row r="264" spans="1:19" ht="24" customHeight="1">
      <c r="A264" s="126" t="s">
        <v>456</v>
      </c>
      <c r="B264" s="158">
        <v>5</v>
      </c>
      <c r="C264" s="159">
        <v>2</v>
      </c>
      <c r="D264" s="199">
        <v>4060061100</v>
      </c>
      <c r="E264" s="144">
        <v>800</v>
      </c>
      <c r="F264" s="144"/>
      <c r="G264" s="132">
        <f t="shared" si="84"/>
        <v>4000</v>
      </c>
      <c r="H264" s="132">
        <f>SUM(H265)</f>
        <v>4000</v>
      </c>
      <c r="I264" s="132">
        <f t="shared" si="84"/>
        <v>4000</v>
      </c>
      <c r="J264" s="132">
        <f t="shared" si="84"/>
        <v>4000</v>
      </c>
      <c r="K264" s="128">
        <f t="shared" si="66"/>
        <v>0</v>
      </c>
      <c r="L264" s="128">
        <f t="shared" si="67"/>
        <v>100</v>
      </c>
      <c r="M264" s="128">
        <f t="shared" si="68"/>
        <v>0</v>
      </c>
      <c r="N264" s="128">
        <f t="shared" si="69"/>
        <v>100</v>
      </c>
      <c r="O264" s="128">
        <f t="shared" si="74"/>
        <v>100</v>
      </c>
      <c r="P264" s="128">
        <f t="shared" si="70"/>
        <v>100</v>
      </c>
      <c r="Q264" s="128">
        <f t="shared" si="71"/>
        <v>0</v>
      </c>
      <c r="R264" s="128">
        <f t="shared" si="75"/>
        <v>100</v>
      </c>
      <c r="S264" s="128">
        <f t="shared" si="83"/>
        <v>3.7759625658804392</v>
      </c>
    </row>
    <row r="265" spans="1:19" ht="74.25" customHeight="1">
      <c r="A265" s="126" t="s">
        <v>544</v>
      </c>
      <c r="B265" s="158">
        <v>5</v>
      </c>
      <c r="C265" s="159">
        <v>2</v>
      </c>
      <c r="D265" s="199">
        <v>4060061100</v>
      </c>
      <c r="E265" s="144">
        <v>811</v>
      </c>
      <c r="F265" s="144">
        <v>245</v>
      </c>
      <c r="G265" s="132">
        <v>4000</v>
      </c>
      <c r="H265" s="132">
        <v>4000</v>
      </c>
      <c r="I265" s="132">
        <v>4000</v>
      </c>
      <c r="J265" s="132">
        <v>4000</v>
      </c>
      <c r="K265" s="128">
        <f t="shared" si="66"/>
        <v>0</v>
      </c>
      <c r="L265" s="128">
        <f t="shared" si="67"/>
        <v>100</v>
      </c>
      <c r="M265" s="128">
        <f t="shared" si="68"/>
        <v>0</v>
      </c>
      <c r="N265" s="128">
        <f t="shared" si="69"/>
        <v>100</v>
      </c>
      <c r="O265" s="128">
        <f t="shared" si="74"/>
        <v>100</v>
      </c>
      <c r="P265" s="128">
        <f t="shared" si="70"/>
        <v>100</v>
      </c>
      <c r="Q265" s="128">
        <f t="shared" si="71"/>
        <v>0</v>
      </c>
      <c r="R265" s="128">
        <f t="shared" si="75"/>
        <v>100</v>
      </c>
      <c r="S265" s="128">
        <f t="shared" si="83"/>
        <v>3.7759625658804392</v>
      </c>
    </row>
    <row r="266" spans="1:19" ht="22.5" customHeight="1">
      <c r="A266" s="130" t="s">
        <v>504</v>
      </c>
      <c r="B266" s="158">
        <v>5</v>
      </c>
      <c r="C266" s="159">
        <v>2</v>
      </c>
      <c r="D266" s="127" t="s">
        <v>542</v>
      </c>
      <c r="E266" s="144"/>
      <c r="F266" s="144"/>
      <c r="G266" s="132">
        <f t="shared" ref="G266:J267" si="85">SUM(G267)</f>
        <v>0</v>
      </c>
      <c r="H266" s="132">
        <f>SUM(H267)</f>
        <v>2036.8</v>
      </c>
      <c r="I266" s="132">
        <f t="shared" si="85"/>
        <v>2036.825</v>
      </c>
      <c r="J266" s="132">
        <f t="shared" si="85"/>
        <v>2036.825</v>
      </c>
      <c r="K266" s="128">
        <f t="shared" si="66"/>
        <v>2.5000000000090949E-2</v>
      </c>
      <c r="L266" s="128">
        <f t="shared" si="67"/>
        <v>100.00122741555381</v>
      </c>
      <c r="M266" s="128">
        <f t="shared" si="68"/>
        <v>0</v>
      </c>
      <c r="N266" s="128">
        <f t="shared" si="69"/>
        <v>100</v>
      </c>
      <c r="O266" s="128"/>
      <c r="P266" s="128">
        <f t="shared" si="70"/>
        <v>100.00122741555381</v>
      </c>
      <c r="Q266" s="128">
        <f t="shared" si="71"/>
        <v>2036.8</v>
      </c>
      <c r="R266" s="128"/>
      <c r="S266" s="128">
        <f t="shared" si="83"/>
        <v>1.9227437383123565</v>
      </c>
    </row>
    <row r="267" spans="1:19" ht="48.75" customHeight="1">
      <c r="A267" s="126" t="s">
        <v>431</v>
      </c>
      <c r="B267" s="158">
        <v>5</v>
      </c>
      <c r="C267" s="159">
        <v>2</v>
      </c>
      <c r="D267" s="127" t="s">
        <v>542</v>
      </c>
      <c r="E267" s="144">
        <v>200</v>
      </c>
      <c r="F267" s="144"/>
      <c r="G267" s="132">
        <f t="shared" si="85"/>
        <v>0</v>
      </c>
      <c r="H267" s="132">
        <f>SUM(H268)</f>
        <v>2036.8</v>
      </c>
      <c r="I267" s="132">
        <f t="shared" si="85"/>
        <v>2036.825</v>
      </c>
      <c r="J267" s="132">
        <f t="shared" si="85"/>
        <v>2036.825</v>
      </c>
      <c r="K267" s="128">
        <f t="shared" si="66"/>
        <v>2.5000000000090949E-2</v>
      </c>
      <c r="L267" s="128">
        <f t="shared" si="67"/>
        <v>100.00122741555381</v>
      </c>
      <c r="M267" s="128">
        <f t="shared" si="68"/>
        <v>0</v>
      </c>
      <c r="N267" s="128">
        <f t="shared" si="69"/>
        <v>100</v>
      </c>
      <c r="O267" s="128"/>
      <c r="P267" s="128">
        <f t="shared" si="70"/>
        <v>100.00122741555381</v>
      </c>
      <c r="Q267" s="128">
        <f t="shared" si="71"/>
        <v>2036.8</v>
      </c>
      <c r="R267" s="128"/>
      <c r="S267" s="128">
        <f t="shared" si="83"/>
        <v>1.9227437383123565</v>
      </c>
    </row>
    <row r="268" spans="1:19" ht="48.75" customHeight="1">
      <c r="A268" s="126" t="s">
        <v>433</v>
      </c>
      <c r="B268" s="158">
        <v>5</v>
      </c>
      <c r="C268" s="159">
        <v>2</v>
      </c>
      <c r="D268" s="127" t="s">
        <v>542</v>
      </c>
      <c r="E268" s="144">
        <v>240</v>
      </c>
      <c r="F268" s="144"/>
      <c r="G268" s="132"/>
      <c r="H268" s="132">
        <v>2036.8</v>
      </c>
      <c r="I268" s="132">
        <f>I269+I270+I271</f>
        <v>2036.825</v>
      </c>
      <c r="J268" s="132">
        <f>J269+J270+J271</f>
        <v>2036.825</v>
      </c>
      <c r="K268" s="128">
        <f t="shared" si="66"/>
        <v>2.5000000000090949E-2</v>
      </c>
      <c r="L268" s="128">
        <f t="shared" si="67"/>
        <v>100.00122741555381</v>
      </c>
      <c r="M268" s="128">
        <f t="shared" si="68"/>
        <v>0</v>
      </c>
      <c r="N268" s="128">
        <f t="shared" si="69"/>
        <v>100</v>
      </c>
      <c r="O268" s="128"/>
      <c r="P268" s="128">
        <f t="shared" si="70"/>
        <v>100.00122741555381</v>
      </c>
      <c r="Q268" s="128">
        <f t="shared" si="71"/>
        <v>2036.8</v>
      </c>
      <c r="R268" s="128"/>
      <c r="S268" s="128">
        <f t="shared" si="83"/>
        <v>1.9227437383123565</v>
      </c>
    </row>
    <row r="269" spans="1:19" ht="21.75" customHeight="1">
      <c r="A269" s="126"/>
      <c r="B269" s="158">
        <v>5</v>
      </c>
      <c r="C269" s="159">
        <v>2</v>
      </c>
      <c r="D269" s="127" t="s">
        <v>542</v>
      </c>
      <c r="E269" s="144">
        <v>244</v>
      </c>
      <c r="F269" s="144">
        <v>222</v>
      </c>
      <c r="G269" s="132"/>
      <c r="H269" s="132"/>
      <c r="I269" s="132">
        <v>6.944</v>
      </c>
      <c r="J269" s="132">
        <v>6.944</v>
      </c>
      <c r="K269" s="128"/>
      <c r="L269" s="128"/>
      <c r="M269" s="128"/>
      <c r="N269" s="128"/>
      <c r="O269" s="128"/>
      <c r="P269" s="128"/>
      <c r="Q269" s="128"/>
      <c r="R269" s="128"/>
      <c r="S269" s="128"/>
    </row>
    <row r="270" spans="1:19" ht="28.5" customHeight="1">
      <c r="A270" s="126"/>
      <c r="B270" s="158">
        <v>5</v>
      </c>
      <c r="C270" s="159">
        <v>2</v>
      </c>
      <c r="D270" s="127" t="s">
        <v>542</v>
      </c>
      <c r="E270" s="144">
        <v>244</v>
      </c>
      <c r="F270" s="144">
        <v>225</v>
      </c>
      <c r="G270" s="132"/>
      <c r="H270" s="132"/>
      <c r="I270" s="132">
        <v>268.84399999999999</v>
      </c>
      <c r="J270" s="132">
        <v>268.84399999999999</v>
      </c>
      <c r="K270" s="128"/>
      <c r="L270" s="128"/>
      <c r="M270" s="128"/>
      <c r="N270" s="128"/>
      <c r="O270" s="128"/>
      <c r="P270" s="128"/>
      <c r="Q270" s="128"/>
      <c r="R270" s="128"/>
      <c r="S270" s="128"/>
    </row>
    <row r="271" spans="1:19" ht="21.75" customHeight="1">
      <c r="A271" s="126"/>
      <c r="B271" s="158">
        <v>5</v>
      </c>
      <c r="C271" s="159">
        <v>2</v>
      </c>
      <c r="D271" s="127" t="s">
        <v>542</v>
      </c>
      <c r="E271" s="144">
        <v>244</v>
      </c>
      <c r="F271" s="144">
        <v>226</v>
      </c>
      <c r="G271" s="132"/>
      <c r="H271" s="132"/>
      <c r="I271" s="132">
        <v>1761.037</v>
      </c>
      <c r="J271" s="132">
        <v>1761.037</v>
      </c>
      <c r="K271" s="128"/>
      <c r="L271" s="128"/>
      <c r="M271" s="128"/>
      <c r="N271" s="128"/>
      <c r="O271" s="128"/>
      <c r="P271" s="128"/>
      <c r="Q271" s="128"/>
      <c r="R271" s="128"/>
      <c r="S271" s="128"/>
    </row>
    <row r="272" spans="1:19" s="122" customFormat="1" ht="29.25" customHeight="1">
      <c r="A272" s="204" t="s">
        <v>548</v>
      </c>
      <c r="B272" s="124" t="s">
        <v>368</v>
      </c>
      <c r="C272" s="124" t="s">
        <v>333</v>
      </c>
      <c r="D272" s="124"/>
      <c r="E272" s="165"/>
      <c r="F272" s="165"/>
      <c r="G272" s="125">
        <f>G273+G295+G305</f>
        <v>3041.4</v>
      </c>
      <c r="H272" s="125">
        <f>H273+H295+H305</f>
        <v>15339</v>
      </c>
      <c r="I272" s="125">
        <f>I273+I295+I305</f>
        <v>15338.992960000001</v>
      </c>
      <c r="J272" s="125">
        <f>J273+J295+J305</f>
        <v>12082.51641</v>
      </c>
      <c r="K272" s="125">
        <f t="shared" si="66"/>
        <v>-7.0399999985966133E-3</v>
      </c>
      <c r="L272" s="125">
        <f t="shared" si="67"/>
        <v>99.999954103918128</v>
      </c>
      <c r="M272" s="125">
        <f t="shared" si="68"/>
        <v>-3256.4765500000012</v>
      </c>
      <c r="N272" s="125">
        <f t="shared" si="69"/>
        <v>78.769945598827633</v>
      </c>
      <c r="O272" s="125">
        <f t="shared" si="74"/>
        <v>397.2682452160189</v>
      </c>
      <c r="P272" s="125">
        <f t="shared" si="70"/>
        <v>78.769909446508905</v>
      </c>
      <c r="Q272" s="125">
        <f t="shared" si="71"/>
        <v>12297.6</v>
      </c>
      <c r="R272" s="125">
        <f t="shared" si="75"/>
        <v>504.34010652988752</v>
      </c>
      <c r="S272" s="125">
        <f t="shared" ref="S272:S277" si="86">J272/$J$386*100</f>
        <v>11.405782416449028</v>
      </c>
    </row>
    <row r="273" spans="1:19" ht="44.25" customHeight="1">
      <c r="A273" s="126" t="s">
        <v>532</v>
      </c>
      <c r="B273" s="127" t="s">
        <v>368</v>
      </c>
      <c r="C273" s="159">
        <v>3</v>
      </c>
      <c r="D273" s="127" t="s">
        <v>533</v>
      </c>
      <c r="E273" s="144"/>
      <c r="F273" s="144"/>
      <c r="G273" s="144">
        <f t="shared" ref="G273:J274" si="87">G274</f>
        <v>3041.4</v>
      </c>
      <c r="H273" s="144">
        <f>H274</f>
        <v>7239.5999999999995</v>
      </c>
      <c r="I273" s="144">
        <f t="shared" si="87"/>
        <v>7239.6029600000011</v>
      </c>
      <c r="J273" s="144">
        <f t="shared" si="87"/>
        <v>3983.1264099999999</v>
      </c>
      <c r="K273" s="128">
        <f t="shared" si="66"/>
        <v>2.9600000016216654E-3</v>
      </c>
      <c r="L273" s="128">
        <f t="shared" si="67"/>
        <v>100.00004088623685</v>
      </c>
      <c r="M273" s="128">
        <f t="shared" si="68"/>
        <v>-3256.4765500000012</v>
      </c>
      <c r="N273" s="128">
        <f t="shared" si="69"/>
        <v>55.018575355684959</v>
      </c>
      <c r="O273" s="128">
        <f t="shared" si="74"/>
        <v>130.96358288945879</v>
      </c>
      <c r="P273" s="128">
        <f t="shared" si="70"/>
        <v>55.01859785070998</v>
      </c>
      <c r="Q273" s="128">
        <f t="shared" si="71"/>
        <v>4198.1999999999989</v>
      </c>
      <c r="R273" s="128">
        <f t="shared" si="75"/>
        <v>238.03511540737813</v>
      </c>
      <c r="S273" s="128">
        <f t="shared" si="86"/>
        <v>3.7600340548324356</v>
      </c>
    </row>
    <row r="274" spans="1:19" ht="72" customHeight="1">
      <c r="A274" s="130" t="s">
        <v>534</v>
      </c>
      <c r="B274" s="159">
        <v>5</v>
      </c>
      <c r="C274" s="159">
        <v>3</v>
      </c>
      <c r="D274" s="207" t="s">
        <v>535</v>
      </c>
      <c r="E274" s="143"/>
      <c r="F274" s="143"/>
      <c r="G274" s="128">
        <f>G275+G294</f>
        <v>3041.4</v>
      </c>
      <c r="H274" s="128">
        <f>H275</f>
        <v>7239.5999999999995</v>
      </c>
      <c r="I274" s="128">
        <f t="shared" si="87"/>
        <v>7239.6029600000011</v>
      </c>
      <c r="J274" s="128">
        <f t="shared" si="87"/>
        <v>3983.1264099999999</v>
      </c>
      <c r="K274" s="128">
        <f t="shared" si="66"/>
        <v>2.9600000016216654E-3</v>
      </c>
      <c r="L274" s="128">
        <f t="shared" si="67"/>
        <v>100.00004088623685</v>
      </c>
      <c r="M274" s="128">
        <f t="shared" si="68"/>
        <v>-3256.4765500000012</v>
      </c>
      <c r="N274" s="128">
        <f t="shared" si="69"/>
        <v>55.018575355684959</v>
      </c>
      <c r="O274" s="128">
        <f t="shared" si="74"/>
        <v>130.96358288945879</v>
      </c>
      <c r="P274" s="128">
        <f t="shared" si="70"/>
        <v>55.01859785070998</v>
      </c>
      <c r="Q274" s="128">
        <f t="shared" si="71"/>
        <v>4198.1999999999989</v>
      </c>
      <c r="R274" s="128">
        <f t="shared" si="75"/>
        <v>238.03511540737813</v>
      </c>
      <c r="S274" s="128">
        <f t="shared" si="86"/>
        <v>3.7600340548324356</v>
      </c>
    </row>
    <row r="275" spans="1:19" ht="21.75" customHeight="1">
      <c r="A275" s="130" t="s">
        <v>504</v>
      </c>
      <c r="B275" s="159">
        <v>5</v>
      </c>
      <c r="C275" s="159">
        <v>3</v>
      </c>
      <c r="D275" s="207" t="s">
        <v>549</v>
      </c>
      <c r="E275" s="143"/>
      <c r="F275" s="143"/>
      <c r="G275" s="128">
        <f>SUM(G276)+G287</f>
        <v>2201.4</v>
      </c>
      <c r="H275" s="128">
        <f>SUM(H276)+H287</f>
        <v>7239.5999999999995</v>
      </c>
      <c r="I275" s="128">
        <f>SUM(I276)+I287</f>
        <v>7239.6029600000011</v>
      </c>
      <c r="J275" s="128">
        <f>SUM(J276)+J287</f>
        <v>3983.1264099999999</v>
      </c>
      <c r="K275" s="128">
        <f t="shared" ref="K275:K338" si="88">I275-H275</f>
        <v>2.9600000016216654E-3</v>
      </c>
      <c r="L275" s="128">
        <f t="shared" ref="L275:L338" si="89">I275/H275*100</f>
        <v>100.00004088623685</v>
      </c>
      <c r="M275" s="128">
        <f>J275-I275</f>
        <v>-3256.4765500000012</v>
      </c>
      <c r="N275" s="128">
        <f t="shared" ref="N275:N338" si="90">J275/I275*100</f>
        <v>55.018575355684959</v>
      </c>
      <c r="O275" s="128">
        <f t="shared" si="74"/>
        <v>180.93605932588352</v>
      </c>
      <c r="P275" s="128">
        <f t="shared" ref="P275:P338" si="91">J275/H275*100</f>
        <v>55.01859785070998</v>
      </c>
      <c r="Q275" s="128">
        <f t="shared" ref="Q275:Q338" si="92">H275-G275</f>
        <v>5038.1999999999989</v>
      </c>
      <c r="R275" s="128">
        <f t="shared" si="75"/>
        <v>328.86345053147994</v>
      </c>
      <c r="S275" s="128">
        <f t="shared" si="86"/>
        <v>3.7600340548324356</v>
      </c>
    </row>
    <row r="276" spans="1:19" ht="42.75" customHeight="1">
      <c r="A276" s="126" t="s">
        <v>431</v>
      </c>
      <c r="B276" s="159">
        <v>5</v>
      </c>
      <c r="C276" s="159">
        <v>3</v>
      </c>
      <c r="D276" s="207" t="s">
        <v>549</v>
      </c>
      <c r="E276" s="143">
        <v>200</v>
      </c>
      <c r="F276" s="143"/>
      <c r="G276" s="145">
        <f>G277</f>
        <v>2201.4</v>
      </c>
      <c r="H276" s="145">
        <f>H277</f>
        <v>6775.2</v>
      </c>
      <c r="I276" s="132">
        <f>I277</f>
        <v>6775.197650000001</v>
      </c>
      <c r="J276" s="132">
        <f>J277</f>
        <v>3527.5430999999999</v>
      </c>
      <c r="K276" s="128">
        <f t="shared" si="88"/>
        <v>-2.3499999988416675E-3</v>
      </c>
      <c r="L276" s="128">
        <f t="shared" si="89"/>
        <v>99.99996531467707</v>
      </c>
      <c r="M276" s="128">
        <f>J276-I276</f>
        <v>-3247.6545500000011</v>
      </c>
      <c r="N276" s="128">
        <f t="shared" si="90"/>
        <v>52.065537896152733</v>
      </c>
      <c r="O276" s="128">
        <f t="shared" si="74"/>
        <v>160.24089670209864</v>
      </c>
      <c r="P276" s="128">
        <f t="shared" si="91"/>
        <v>52.065519837052776</v>
      </c>
      <c r="Q276" s="128">
        <f t="shared" si="92"/>
        <v>4573.7999999999993</v>
      </c>
      <c r="R276" s="128">
        <f t="shared" si="75"/>
        <v>307.76778413736713</v>
      </c>
      <c r="S276" s="128">
        <f t="shared" si="86"/>
        <v>3.3299676737824599</v>
      </c>
    </row>
    <row r="277" spans="1:19" ht="45.75" customHeight="1">
      <c r="A277" s="130" t="s">
        <v>433</v>
      </c>
      <c r="B277" s="159">
        <v>5</v>
      </c>
      <c r="C277" s="159">
        <v>3</v>
      </c>
      <c r="D277" s="207" t="s">
        <v>549</v>
      </c>
      <c r="E277" s="143">
        <v>240</v>
      </c>
      <c r="F277" s="143"/>
      <c r="G277" s="145">
        <v>2201.4</v>
      </c>
      <c r="H277" s="145">
        <v>6775.2</v>
      </c>
      <c r="I277" s="132">
        <f>I278+I279+I280+I281+I282+I283+I284+I285+I286</f>
        <v>6775.197650000001</v>
      </c>
      <c r="J277" s="132">
        <f>J278+J279+J280+J281+J282+J283+J284+J285+J286</f>
        <v>3527.5430999999999</v>
      </c>
      <c r="K277" s="128">
        <f t="shared" si="88"/>
        <v>-2.3499999988416675E-3</v>
      </c>
      <c r="L277" s="128">
        <f t="shared" si="89"/>
        <v>99.99996531467707</v>
      </c>
      <c r="M277" s="128">
        <f>J277-I277</f>
        <v>-3247.6545500000011</v>
      </c>
      <c r="N277" s="128">
        <f t="shared" si="90"/>
        <v>52.065537896152733</v>
      </c>
      <c r="O277" s="128">
        <f>J277/G277*100</f>
        <v>160.24089670209864</v>
      </c>
      <c r="P277" s="128">
        <f t="shared" si="91"/>
        <v>52.065519837052776</v>
      </c>
      <c r="Q277" s="128">
        <f t="shared" si="92"/>
        <v>4573.7999999999993</v>
      </c>
      <c r="R277" s="128">
        <f>H277/G277*100</f>
        <v>307.76778413736713</v>
      </c>
      <c r="S277" s="128">
        <f t="shared" si="86"/>
        <v>3.3299676737824599</v>
      </c>
    </row>
    <row r="278" spans="1:19" ht="21.75" customHeight="1">
      <c r="A278" s="130"/>
      <c r="B278" s="159">
        <v>5</v>
      </c>
      <c r="C278" s="159">
        <v>3</v>
      </c>
      <c r="D278" s="207" t="s">
        <v>549</v>
      </c>
      <c r="E278" s="143">
        <v>244</v>
      </c>
      <c r="F278" s="143">
        <v>222</v>
      </c>
      <c r="G278" s="145"/>
      <c r="H278" s="145"/>
      <c r="I278" s="132">
        <v>12.18</v>
      </c>
      <c r="J278" s="132">
        <v>12.18</v>
      </c>
      <c r="K278" s="128"/>
      <c r="L278" s="128"/>
      <c r="M278" s="128">
        <f t="shared" ref="M278:M341" si="93">J278-I278</f>
        <v>0</v>
      </c>
      <c r="N278" s="128"/>
      <c r="O278" s="128"/>
      <c r="P278" s="128"/>
      <c r="Q278" s="128"/>
      <c r="R278" s="128"/>
      <c r="S278" s="128"/>
    </row>
    <row r="279" spans="1:19" ht="23.25" customHeight="1">
      <c r="A279" s="130"/>
      <c r="B279" s="159">
        <v>5</v>
      </c>
      <c r="C279" s="159">
        <v>3</v>
      </c>
      <c r="D279" s="207" t="s">
        <v>549</v>
      </c>
      <c r="E279" s="143">
        <v>244</v>
      </c>
      <c r="F279" s="143">
        <v>223</v>
      </c>
      <c r="G279" s="145"/>
      <c r="H279" s="145"/>
      <c r="I279" s="132">
        <v>45.835000000000001</v>
      </c>
      <c r="J279" s="132">
        <v>41.796999999999997</v>
      </c>
      <c r="K279" s="128"/>
      <c r="L279" s="128"/>
      <c r="M279" s="128">
        <f t="shared" si="93"/>
        <v>-4.0380000000000038</v>
      </c>
      <c r="N279" s="128"/>
      <c r="O279" s="128"/>
      <c r="P279" s="128"/>
      <c r="Q279" s="128"/>
      <c r="R279" s="128"/>
      <c r="S279" s="128"/>
    </row>
    <row r="280" spans="1:19" ht="19.5" customHeight="1">
      <c r="A280" s="130"/>
      <c r="B280" s="159">
        <v>5</v>
      </c>
      <c r="C280" s="159">
        <v>3</v>
      </c>
      <c r="D280" s="207" t="s">
        <v>549</v>
      </c>
      <c r="E280" s="143">
        <v>244</v>
      </c>
      <c r="F280" s="143">
        <v>225</v>
      </c>
      <c r="G280" s="145"/>
      <c r="H280" s="145"/>
      <c r="I280" s="132">
        <v>4249.0553200000004</v>
      </c>
      <c r="J280" s="132">
        <v>1084.8</v>
      </c>
      <c r="K280" s="128"/>
      <c r="L280" s="128"/>
      <c r="M280" s="128">
        <f t="shared" si="93"/>
        <v>-3164.2553200000002</v>
      </c>
      <c r="N280" s="128"/>
      <c r="O280" s="128"/>
      <c r="P280" s="128"/>
      <c r="Q280" s="128"/>
      <c r="R280" s="128"/>
      <c r="S280" s="128"/>
    </row>
    <row r="281" spans="1:19" ht="23.25" customHeight="1">
      <c r="A281" s="130"/>
      <c r="B281" s="159">
        <v>5</v>
      </c>
      <c r="C281" s="159">
        <v>3</v>
      </c>
      <c r="D281" s="207" t="s">
        <v>549</v>
      </c>
      <c r="E281" s="143">
        <v>244</v>
      </c>
      <c r="F281" s="143">
        <v>226</v>
      </c>
      <c r="G281" s="145"/>
      <c r="H281" s="145"/>
      <c r="I281" s="132">
        <v>63.6</v>
      </c>
      <c r="J281" s="132">
        <v>63.6</v>
      </c>
      <c r="K281" s="128"/>
      <c r="L281" s="128"/>
      <c r="M281" s="128">
        <f t="shared" si="93"/>
        <v>0</v>
      </c>
      <c r="N281" s="128"/>
      <c r="O281" s="128"/>
      <c r="P281" s="128"/>
      <c r="Q281" s="128"/>
      <c r="R281" s="128"/>
      <c r="S281" s="128"/>
    </row>
    <row r="282" spans="1:19" ht="21.75" customHeight="1">
      <c r="A282" s="130"/>
      <c r="B282" s="159">
        <v>5</v>
      </c>
      <c r="C282" s="159">
        <v>3</v>
      </c>
      <c r="D282" s="207" t="s">
        <v>549</v>
      </c>
      <c r="E282" s="143">
        <v>244</v>
      </c>
      <c r="F282" s="143">
        <v>228</v>
      </c>
      <c r="G282" s="145"/>
      <c r="H282" s="145"/>
      <c r="I282" s="132">
        <v>255.303</v>
      </c>
      <c r="J282" s="132">
        <v>255.303</v>
      </c>
      <c r="K282" s="128"/>
      <c r="L282" s="128"/>
      <c r="M282" s="128">
        <f t="shared" si="93"/>
        <v>0</v>
      </c>
      <c r="N282" s="128"/>
      <c r="O282" s="128"/>
      <c r="P282" s="128"/>
      <c r="Q282" s="128"/>
      <c r="R282" s="128"/>
      <c r="S282" s="128"/>
    </row>
    <row r="283" spans="1:19" ht="18.75" customHeight="1">
      <c r="A283" s="130"/>
      <c r="B283" s="159">
        <v>5</v>
      </c>
      <c r="C283" s="159">
        <v>3</v>
      </c>
      <c r="D283" s="207" t="s">
        <v>549</v>
      </c>
      <c r="E283" s="143">
        <v>244</v>
      </c>
      <c r="F283" s="143">
        <v>310</v>
      </c>
      <c r="G283" s="145"/>
      <c r="H283" s="145"/>
      <c r="I283" s="132">
        <v>570.03233</v>
      </c>
      <c r="J283" s="132">
        <v>570.03233</v>
      </c>
      <c r="K283" s="128"/>
      <c r="L283" s="128"/>
      <c r="M283" s="128">
        <f t="shared" si="93"/>
        <v>0</v>
      </c>
      <c r="N283" s="128"/>
      <c r="O283" s="128"/>
      <c r="P283" s="128"/>
      <c r="Q283" s="128"/>
      <c r="R283" s="128"/>
      <c r="S283" s="128"/>
    </row>
    <row r="284" spans="1:19" ht="21.75" customHeight="1">
      <c r="A284" s="130"/>
      <c r="B284" s="159">
        <v>5</v>
      </c>
      <c r="C284" s="159">
        <v>3</v>
      </c>
      <c r="D284" s="207" t="s">
        <v>549</v>
      </c>
      <c r="E284" s="143">
        <v>244</v>
      </c>
      <c r="F284" s="143">
        <v>343</v>
      </c>
      <c r="G284" s="145"/>
      <c r="H284" s="145"/>
      <c r="I284" s="132">
        <v>5.3920000000000003</v>
      </c>
      <c r="J284" s="132">
        <v>5.3920000000000003</v>
      </c>
      <c r="K284" s="128"/>
      <c r="L284" s="128"/>
      <c r="M284" s="128">
        <f t="shared" si="93"/>
        <v>0</v>
      </c>
      <c r="N284" s="128"/>
      <c r="O284" s="128"/>
      <c r="P284" s="128"/>
      <c r="Q284" s="128"/>
      <c r="R284" s="128"/>
      <c r="S284" s="128"/>
    </row>
    <row r="285" spans="1:19" ht="22.5" customHeight="1">
      <c r="A285" s="130"/>
      <c r="B285" s="159">
        <v>5</v>
      </c>
      <c r="C285" s="159">
        <v>3</v>
      </c>
      <c r="D285" s="207" t="s">
        <v>549</v>
      </c>
      <c r="E285" s="143">
        <v>244</v>
      </c>
      <c r="F285" s="143">
        <v>346</v>
      </c>
      <c r="G285" s="145"/>
      <c r="H285" s="145"/>
      <c r="I285" s="132">
        <v>488</v>
      </c>
      <c r="J285" s="132">
        <v>488</v>
      </c>
      <c r="K285" s="128"/>
      <c r="L285" s="128"/>
      <c r="M285" s="128">
        <f t="shared" si="93"/>
        <v>0</v>
      </c>
      <c r="N285" s="128"/>
      <c r="O285" s="128"/>
      <c r="P285" s="128"/>
      <c r="Q285" s="128"/>
      <c r="R285" s="128"/>
      <c r="S285" s="128"/>
    </row>
    <row r="286" spans="1:19" ht="21.75" customHeight="1">
      <c r="A286" s="130"/>
      <c r="B286" s="159">
        <v>5</v>
      </c>
      <c r="C286" s="159">
        <v>3</v>
      </c>
      <c r="D286" s="207" t="s">
        <v>549</v>
      </c>
      <c r="E286" s="143">
        <v>247</v>
      </c>
      <c r="F286" s="143">
        <v>223</v>
      </c>
      <c r="G286" s="145"/>
      <c r="H286" s="145"/>
      <c r="I286" s="132">
        <v>1085.8</v>
      </c>
      <c r="J286" s="132">
        <v>1006.43877</v>
      </c>
      <c r="K286" s="128"/>
      <c r="L286" s="128"/>
      <c r="M286" s="128">
        <f t="shared" si="93"/>
        <v>-79.361229999999978</v>
      </c>
      <c r="N286" s="128"/>
      <c r="O286" s="128"/>
      <c r="P286" s="128"/>
      <c r="Q286" s="128"/>
      <c r="R286" s="128"/>
      <c r="S286" s="128"/>
    </row>
    <row r="287" spans="1:19" ht="20.25" customHeight="1">
      <c r="A287" s="126" t="s">
        <v>456</v>
      </c>
      <c r="B287" s="159">
        <v>5</v>
      </c>
      <c r="C287" s="159">
        <v>3</v>
      </c>
      <c r="D287" s="207" t="s">
        <v>549</v>
      </c>
      <c r="E287" s="143">
        <v>800</v>
      </c>
      <c r="F287" s="143"/>
      <c r="G287" s="132">
        <f>SUM(G288)+G291</f>
        <v>0</v>
      </c>
      <c r="H287" s="132">
        <f>SUM(H288)+H291</f>
        <v>464.4</v>
      </c>
      <c r="I287" s="132">
        <f>SUM(I288)+I291</f>
        <v>464.40530999999999</v>
      </c>
      <c r="J287" s="132">
        <f>SUM(J288)+J291</f>
        <v>455.58330999999998</v>
      </c>
      <c r="K287" s="128">
        <f t="shared" si="88"/>
        <v>5.3100000000085856E-3</v>
      </c>
      <c r="L287" s="128">
        <f t="shared" si="89"/>
        <v>100.00114341085271</v>
      </c>
      <c r="M287" s="128">
        <f t="shared" si="93"/>
        <v>-8.8220000000000027</v>
      </c>
      <c r="N287" s="128">
        <f t="shared" si="90"/>
        <v>98.100366251195538</v>
      </c>
      <c r="O287" s="128"/>
      <c r="P287" s="128">
        <f t="shared" si="91"/>
        <v>98.101487941429795</v>
      </c>
      <c r="Q287" s="128">
        <f t="shared" si="92"/>
        <v>464.4</v>
      </c>
      <c r="R287" s="128"/>
      <c r="S287" s="128">
        <f>J287/$J$386*100</f>
        <v>0.43006638104997591</v>
      </c>
    </row>
    <row r="288" spans="1:19" ht="21" customHeight="1">
      <c r="A288" s="130" t="s">
        <v>458</v>
      </c>
      <c r="B288" s="159">
        <v>5</v>
      </c>
      <c r="C288" s="159">
        <v>3</v>
      </c>
      <c r="D288" s="207" t="s">
        <v>549</v>
      </c>
      <c r="E288" s="143">
        <v>830</v>
      </c>
      <c r="F288" s="143"/>
      <c r="G288" s="132"/>
      <c r="H288" s="132">
        <v>284.39999999999998</v>
      </c>
      <c r="I288" s="132">
        <f>I289+I290</f>
        <v>284.40530999999999</v>
      </c>
      <c r="J288" s="132">
        <f>J289+J290</f>
        <v>275.58330999999998</v>
      </c>
      <c r="K288" s="128">
        <f t="shared" si="88"/>
        <v>5.3100000000085856E-3</v>
      </c>
      <c r="L288" s="128">
        <f t="shared" si="89"/>
        <v>100.00186708860758</v>
      </c>
      <c r="M288" s="128">
        <f t="shared" si="93"/>
        <v>-8.8220000000000027</v>
      </c>
      <c r="N288" s="128">
        <f t="shared" si="90"/>
        <v>96.898088857764293</v>
      </c>
      <c r="O288" s="128"/>
      <c r="P288" s="128">
        <f t="shared" si="91"/>
        <v>96.899898030942339</v>
      </c>
      <c r="Q288" s="128">
        <f t="shared" si="92"/>
        <v>284.39999999999998</v>
      </c>
      <c r="R288" s="128"/>
      <c r="S288" s="128">
        <f>J288/$J$386*100</f>
        <v>0.26014806558535614</v>
      </c>
    </row>
    <row r="289" spans="1:19" ht="21" customHeight="1">
      <c r="A289" s="217"/>
      <c r="B289" s="159">
        <v>5</v>
      </c>
      <c r="C289" s="159">
        <v>3</v>
      </c>
      <c r="D289" s="207" t="s">
        <v>549</v>
      </c>
      <c r="E289" s="143">
        <v>831</v>
      </c>
      <c r="F289" s="143">
        <v>295</v>
      </c>
      <c r="G289" s="132"/>
      <c r="H289" s="132"/>
      <c r="I289" s="132">
        <v>8.8219999999999992</v>
      </c>
      <c r="J289" s="132">
        <v>0</v>
      </c>
      <c r="K289" s="128"/>
      <c r="L289" s="128"/>
      <c r="M289" s="128"/>
      <c r="N289" s="128"/>
      <c r="O289" s="128"/>
      <c r="P289" s="128"/>
      <c r="Q289" s="128"/>
      <c r="R289" s="128"/>
      <c r="S289" s="128"/>
    </row>
    <row r="290" spans="1:19" ht="21" customHeight="1">
      <c r="A290" s="217"/>
      <c r="B290" s="159">
        <v>5</v>
      </c>
      <c r="C290" s="159">
        <v>3</v>
      </c>
      <c r="D290" s="207" t="s">
        <v>549</v>
      </c>
      <c r="E290" s="143">
        <v>831</v>
      </c>
      <c r="F290" s="143">
        <v>297</v>
      </c>
      <c r="G290" s="132"/>
      <c r="H290" s="132"/>
      <c r="I290" s="132">
        <v>275.58330999999998</v>
      </c>
      <c r="J290" s="132">
        <v>275.58330999999998</v>
      </c>
      <c r="K290" s="128"/>
      <c r="L290" s="128"/>
      <c r="M290" s="128"/>
      <c r="N290" s="128"/>
      <c r="O290" s="128"/>
      <c r="P290" s="128"/>
      <c r="Q290" s="128"/>
      <c r="R290" s="128"/>
      <c r="S290" s="128"/>
    </row>
    <row r="291" spans="1:19" ht="24.75" customHeight="1">
      <c r="A291" s="218" t="s">
        <v>461</v>
      </c>
      <c r="B291" s="159">
        <v>5</v>
      </c>
      <c r="C291" s="159">
        <v>3</v>
      </c>
      <c r="D291" s="207" t="s">
        <v>549</v>
      </c>
      <c r="E291" s="143">
        <v>850</v>
      </c>
      <c r="F291" s="143"/>
      <c r="G291" s="132"/>
      <c r="H291" s="132">
        <v>180</v>
      </c>
      <c r="I291" s="132">
        <f>I292+I293</f>
        <v>180</v>
      </c>
      <c r="J291" s="132">
        <f>J292+J293</f>
        <v>180</v>
      </c>
      <c r="K291" s="128">
        <f t="shared" si="88"/>
        <v>0</v>
      </c>
      <c r="L291" s="128">
        <f t="shared" si="89"/>
        <v>100</v>
      </c>
      <c r="M291" s="128">
        <f t="shared" si="93"/>
        <v>0</v>
      </c>
      <c r="N291" s="128">
        <f t="shared" si="90"/>
        <v>100</v>
      </c>
      <c r="O291" s="128"/>
      <c r="P291" s="128">
        <f t="shared" si="91"/>
        <v>100</v>
      </c>
      <c r="Q291" s="128">
        <f t="shared" si="92"/>
        <v>180</v>
      </c>
      <c r="R291" s="128"/>
      <c r="S291" s="128">
        <f>J291/$J$386*100</f>
        <v>0.16991831546461977</v>
      </c>
    </row>
    <row r="292" spans="1:19" ht="24.75" customHeight="1">
      <c r="A292" s="218"/>
      <c r="B292" s="159">
        <v>5</v>
      </c>
      <c r="C292" s="159">
        <v>3</v>
      </c>
      <c r="D292" s="207" t="s">
        <v>549</v>
      </c>
      <c r="E292" s="219">
        <v>853</v>
      </c>
      <c r="F292" s="219">
        <v>291</v>
      </c>
      <c r="G292" s="220"/>
      <c r="H292" s="220"/>
      <c r="I292" s="220">
        <v>50</v>
      </c>
      <c r="J292" s="220">
        <v>50</v>
      </c>
      <c r="K292" s="128"/>
      <c r="L292" s="128"/>
      <c r="M292" s="128"/>
      <c r="N292" s="128"/>
      <c r="O292" s="128"/>
      <c r="P292" s="128"/>
      <c r="Q292" s="128"/>
      <c r="R292" s="128"/>
      <c r="S292" s="128"/>
    </row>
    <row r="293" spans="1:19" ht="24.75" customHeight="1">
      <c r="A293" s="218"/>
      <c r="B293" s="159">
        <v>5</v>
      </c>
      <c r="C293" s="159">
        <v>3</v>
      </c>
      <c r="D293" s="207" t="s">
        <v>549</v>
      </c>
      <c r="E293" s="219">
        <v>853</v>
      </c>
      <c r="F293" s="219">
        <v>295</v>
      </c>
      <c r="G293" s="220"/>
      <c r="H293" s="220"/>
      <c r="I293" s="220">
        <v>130</v>
      </c>
      <c r="J293" s="220">
        <v>130</v>
      </c>
      <c r="K293" s="128"/>
      <c r="L293" s="128"/>
      <c r="M293" s="128"/>
      <c r="N293" s="128"/>
      <c r="O293" s="128"/>
      <c r="P293" s="128"/>
      <c r="Q293" s="128"/>
      <c r="R293" s="128"/>
      <c r="S293" s="128"/>
    </row>
    <row r="294" spans="1:19" ht="24.75" customHeight="1">
      <c r="A294" s="218"/>
      <c r="B294" s="159">
        <v>5</v>
      </c>
      <c r="C294" s="159">
        <v>3</v>
      </c>
      <c r="D294" s="207" t="s">
        <v>550</v>
      </c>
      <c r="E294" s="219">
        <v>240</v>
      </c>
      <c r="F294" s="219"/>
      <c r="G294" s="220">
        <v>840</v>
      </c>
      <c r="H294" s="220"/>
      <c r="I294" s="220"/>
      <c r="J294" s="220"/>
      <c r="K294" s="128"/>
      <c r="L294" s="128"/>
      <c r="M294" s="128"/>
      <c r="N294" s="128"/>
      <c r="O294" s="128"/>
      <c r="P294" s="128"/>
      <c r="Q294" s="128"/>
      <c r="R294" s="128"/>
      <c r="S294" s="128"/>
    </row>
    <row r="295" spans="1:19" ht="54.75" customHeight="1">
      <c r="A295" s="221" t="s">
        <v>551</v>
      </c>
      <c r="B295" s="222">
        <v>5</v>
      </c>
      <c r="C295" s="222">
        <v>3</v>
      </c>
      <c r="D295" s="223" t="s">
        <v>552</v>
      </c>
      <c r="E295" s="219"/>
      <c r="F295" s="219"/>
      <c r="G295" s="220">
        <f>G296</f>
        <v>0</v>
      </c>
      <c r="H295" s="220">
        <f>H296</f>
        <v>7979.4</v>
      </c>
      <c r="I295" s="220">
        <f>I296</f>
        <v>7979.39</v>
      </c>
      <c r="J295" s="220">
        <f>J296</f>
        <v>7979.39</v>
      </c>
      <c r="K295" s="128">
        <f t="shared" si="88"/>
        <v>-9.999999999308784E-3</v>
      </c>
      <c r="L295" s="128">
        <f t="shared" si="89"/>
        <v>99.999874677294045</v>
      </c>
      <c r="M295" s="128">
        <f t="shared" si="93"/>
        <v>0</v>
      </c>
      <c r="N295" s="128">
        <f t="shared" si="90"/>
        <v>100</v>
      </c>
      <c r="O295" s="128"/>
      <c r="P295" s="128">
        <f t="shared" si="91"/>
        <v>99.999874677294045</v>
      </c>
      <c r="Q295" s="128">
        <f t="shared" si="92"/>
        <v>7979.4</v>
      </c>
      <c r="R295" s="128"/>
      <c r="S295" s="128">
        <f t="shared" ref="S295:S302" si="94">J295/$J$386*100</f>
        <v>7.5324694846401812</v>
      </c>
    </row>
    <row r="296" spans="1:19" ht="57.75" customHeight="1">
      <c r="A296" s="221" t="s">
        <v>553</v>
      </c>
      <c r="B296" s="222">
        <v>5</v>
      </c>
      <c r="C296" s="222">
        <v>3</v>
      </c>
      <c r="D296" s="223" t="s">
        <v>554</v>
      </c>
      <c r="E296" s="143"/>
      <c r="F296" s="143"/>
      <c r="G296" s="132">
        <f>G297+G300</f>
        <v>0</v>
      </c>
      <c r="H296" s="132">
        <f>H297+H300</f>
        <v>7979.4</v>
      </c>
      <c r="I296" s="132">
        <f>I297+I300</f>
        <v>7979.39</v>
      </c>
      <c r="J296" s="132">
        <f>J297+J300</f>
        <v>7979.39</v>
      </c>
      <c r="K296" s="128">
        <f t="shared" si="88"/>
        <v>-9.999999999308784E-3</v>
      </c>
      <c r="L296" s="128">
        <f t="shared" si="89"/>
        <v>99.999874677294045</v>
      </c>
      <c r="M296" s="128">
        <f t="shared" si="93"/>
        <v>0</v>
      </c>
      <c r="N296" s="128">
        <f t="shared" si="90"/>
        <v>100</v>
      </c>
      <c r="O296" s="128"/>
      <c r="P296" s="128">
        <f t="shared" si="91"/>
        <v>99.999874677294045</v>
      </c>
      <c r="Q296" s="128">
        <f t="shared" si="92"/>
        <v>7979.4</v>
      </c>
      <c r="R296" s="128"/>
      <c r="S296" s="128">
        <f t="shared" si="94"/>
        <v>7.5324694846401812</v>
      </c>
    </row>
    <row r="297" spans="1:19" ht="57" customHeight="1">
      <c r="A297" s="205" t="s">
        <v>555</v>
      </c>
      <c r="B297" s="222">
        <v>5</v>
      </c>
      <c r="C297" s="222">
        <v>3</v>
      </c>
      <c r="D297" s="223" t="s">
        <v>556</v>
      </c>
      <c r="E297" s="202"/>
      <c r="F297" s="202"/>
      <c r="G297" s="132">
        <f>SUM(G298)</f>
        <v>0</v>
      </c>
      <c r="H297" s="132">
        <f>SUM(H298)</f>
        <v>7789.4</v>
      </c>
      <c r="I297" s="132">
        <f>SUM(I298)</f>
        <v>7789.39</v>
      </c>
      <c r="J297" s="132">
        <f>SUM(J298)</f>
        <v>7789.39</v>
      </c>
      <c r="K297" s="128">
        <f t="shared" si="88"/>
        <v>-9.999999999308784E-3</v>
      </c>
      <c r="L297" s="128">
        <f t="shared" si="89"/>
        <v>99.999871620407234</v>
      </c>
      <c r="M297" s="128">
        <f t="shared" si="93"/>
        <v>0</v>
      </c>
      <c r="N297" s="128">
        <f t="shared" si="90"/>
        <v>100</v>
      </c>
      <c r="O297" s="128"/>
      <c r="P297" s="128">
        <f t="shared" si="91"/>
        <v>99.999871620407234</v>
      </c>
      <c r="Q297" s="128">
        <f t="shared" si="92"/>
        <v>7789.4</v>
      </c>
      <c r="R297" s="128"/>
      <c r="S297" s="128">
        <f t="shared" si="94"/>
        <v>7.3531112627608586</v>
      </c>
    </row>
    <row r="298" spans="1:19" ht="44.25" customHeight="1">
      <c r="A298" s="173" t="s">
        <v>431</v>
      </c>
      <c r="B298" s="222">
        <v>5</v>
      </c>
      <c r="C298" s="222">
        <v>3</v>
      </c>
      <c r="D298" s="223" t="s">
        <v>556</v>
      </c>
      <c r="E298" s="202">
        <v>200</v>
      </c>
      <c r="F298" s="202"/>
      <c r="G298" s="132">
        <f>G299</f>
        <v>0</v>
      </c>
      <c r="H298" s="132">
        <f>H299</f>
        <v>7789.4</v>
      </c>
      <c r="I298" s="132">
        <f>I299</f>
        <v>7789.39</v>
      </c>
      <c r="J298" s="132">
        <f>J299</f>
        <v>7789.39</v>
      </c>
      <c r="K298" s="128">
        <f t="shared" si="88"/>
        <v>-9.999999999308784E-3</v>
      </c>
      <c r="L298" s="128">
        <f t="shared" si="89"/>
        <v>99.999871620407234</v>
      </c>
      <c r="M298" s="128">
        <f t="shared" si="93"/>
        <v>0</v>
      </c>
      <c r="N298" s="128">
        <f t="shared" si="90"/>
        <v>100</v>
      </c>
      <c r="O298" s="128"/>
      <c r="P298" s="128">
        <f t="shared" si="91"/>
        <v>99.999871620407234</v>
      </c>
      <c r="Q298" s="128">
        <f t="shared" si="92"/>
        <v>7789.4</v>
      </c>
      <c r="R298" s="128"/>
      <c r="S298" s="128">
        <f t="shared" si="94"/>
        <v>7.3531112627608586</v>
      </c>
    </row>
    <row r="299" spans="1:19" ht="45" customHeight="1">
      <c r="A299" s="198" t="s">
        <v>433</v>
      </c>
      <c r="B299" s="222">
        <v>5</v>
      </c>
      <c r="C299" s="222">
        <v>3</v>
      </c>
      <c r="D299" s="223" t="s">
        <v>556</v>
      </c>
      <c r="E299" s="202">
        <v>244</v>
      </c>
      <c r="F299" s="202">
        <v>310</v>
      </c>
      <c r="G299" s="132"/>
      <c r="H299" s="132">
        <v>7789.4</v>
      </c>
      <c r="I299" s="132">
        <v>7789.39</v>
      </c>
      <c r="J299" s="132">
        <v>7789.39</v>
      </c>
      <c r="K299" s="128">
        <f t="shared" si="88"/>
        <v>-9.999999999308784E-3</v>
      </c>
      <c r="L299" s="128">
        <f t="shared" si="89"/>
        <v>99.999871620407234</v>
      </c>
      <c r="M299" s="128">
        <f t="shared" si="93"/>
        <v>0</v>
      </c>
      <c r="N299" s="128">
        <f t="shared" si="90"/>
        <v>100</v>
      </c>
      <c r="O299" s="128"/>
      <c r="P299" s="128">
        <f t="shared" si="91"/>
        <v>99.999871620407234</v>
      </c>
      <c r="Q299" s="128">
        <f t="shared" si="92"/>
        <v>7789.4</v>
      </c>
      <c r="R299" s="128"/>
      <c r="S299" s="128">
        <f t="shared" si="94"/>
        <v>7.3531112627608586</v>
      </c>
    </row>
    <row r="300" spans="1:19" ht="58.5" customHeight="1">
      <c r="A300" s="205" t="s">
        <v>557</v>
      </c>
      <c r="B300" s="222">
        <v>5</v>
      </c>
      <c r="C300" s="222">
        <v>3</v>
      </c>
      <c r="D300" s="223" t="s">
        <v>558</v>
      </c>
      <c r="E300" s="202"/>
      <c r="F300" s="202"/>
      <c r="G300" s="132">
        <f>SUM(G301)</f>
        <v>0</v>
      </c>
      <c r="H300" s="132">
        <f>SUM(H301)</f>
        <v>190</v>
      </c>
      <c r="I300" s="132">
        <f>SUM(I301)</f>
        <v>190</v>
      </c>
      <c r="J300" s="132">
        <f>SUM(J301)</f>
        <v>190</v>
      </c>
      <c r="K300" s="128">
        <f t="shared" si="88"/>
        <v>0</v>
      </c>
      <c r="L300" s="128">
        <f t="shared" si="89"/>
        <v>100</v>
      </c>
      <c r="M300" s="128">
        <f t="shared" si="93"/>
        <v>0</v>
      </c>
      <c r="N300" s="128">
        <f t="shared" si="90"/>
        <v>100</v>
      </c>
      <c r="O300" s="128"/>
      <c r="P300" s="128">
        <f t="shared" si="91"/>
        <v>100</v>
      </c>
      <c r="Q300" s="128">
        <f t="shared" si="92"/>
        <v>190</v>
      </c>
      <c r="R300" s="128"/>
      <c r="S300" s="128">
        <f t="shared" si="94"/>
        <v>0.17935822187932088</v>
      </c>
    </row>
    <row r="301" spans="1:19" ht="43.5" customHeight="1">
      <c r="A301" s="173" t="s">
        <v>431</v>
      </c>
      <c r="B301" s="222">
        <v>5</v>
      </c>
      <c r="C301" s="222">
        <v>3</v>
      </c>
      <c r="D301" s="223" t="s">
        <v>558</v>
      </c>
      <c r="E301" s="202">
        <v>200</v>
      </c>
      <c r="F301" s="202"/>
      <c r="G301" s="132">
        <f>G302</f>
        <v>0</v>
      </c>
      <c r="H301" s="132">
        <f>H302</f>
        <v>190</v>
      </c>
      <c r="I301" s="132">
        <f>I302</f>
        <v>190</v>
      </c>
      <c r="J301" s="132">
        <f>J302</f>
        <v>190</v>
      </c>
      <c r="K301" s="128">
        <f t="shared" si="88"/>
        <v>0</v>
      </c>
      <c r="L301" s="128">
        <f t="shared" si="89"/>
        <v>100</v>
      </c>
      <c r="M301" s="128">
        <f t="shared" si="93"/>
        <v>0</v>
      </c>
      <c r="N301" s="128">
        <f t="shared" si="90"/>
        <v>100</v>
      </c>
      <c r="O301" s="128"/>
      <c r="P301" s="128">
        <f t="shared" si="91"/>
        <v>100</v>
      </c>
      <c r="Q301" s="128">
        <f t="shared" si="92"/>
        <v>190</v>
      </c>
      <c r="R301" s="128"/>
      <c r="S301" s="128">
        <f t="shared" si="94"/>
        <v>0.17935822187932088</v>
      </c>
    </row>
    <row r="302" spans="1:19" ht="45.75" customHeight="1">
      <c r="A302" s="198" t="s">
        <v>433</v>
      </c>
      <c r="B302" s="222">
        <v>5</v>
      </c>
      <c r="C302" s="222">
        <v>3</v>
      </c>
      <c r="D302" s="223" t="s">
        <v>558</v>
      </c>
      <c r="E302" s="202">
        <v>240</v>
      </c>
      <c r="F302" s="202"/>
      <c r="G302" s="132"/>
      <c r="H302" s="132">
        <v>190</v>
      </c>
      <c r="I302" s="132">
        <f>I303+I304</f>
        <v>190</v>
      </c>
      <c r="J302" s="132">
        <f>J303+J304</f>
        <v>190</v>
      </c>
      <c r="K302" s="128">
        <f t="shared" si="88"/>
        <v>0</v>
      </c>
      <c r="L302" s="128">
        <f t="shared" si="89"/>
        <v>100</v>
      </c>
      <c r="M302" s="128">
        <f t="shared" si="93"/>
        <v>0</v>
      </c>
      <c r="N302" s="128">
        <f t="shared" si="90"/>
        <v>100</v>
      </c>
      <c r="O302" s="128"/>
      <c r="P302" s="128">
        <f t="shared" si="91"/>
        <v>100</v>
      </c>
      <c r="Q302" s="128">
        <f t="shared" si="92"/>
        <v>190</v>
      </c>
      <c r="R302" s="128"/>
      <c r="S302" s="128">
        <f t="shared" si="94"/>
        <v>0.17935822187932088</v>
      </c>
    </row>
    <row r="303" spans="1:19" ht="22.5" customHeight="1">
      <c r="A303" s="198"/>
      <c r="B303" s="222">
        <v>5</v>
      </c>
      <c r="C303" s="222">
        <v>3</v>
      </c>
      <c r="D303" s="223" t="s">
        <v>558</v>
      </c>
      <c r="E303" s="202">
        <v>244</v>
      </c>
      <c r="F303" s="202">
        <v>228</v>
      </c>
      <c r="G303" s="132"/>
      <c r="H303" s="132"/>
      <c r="I303" s="132">
        <v>80</v>
      </c>
      <c r="J303" s="132">
        <v>80</v>
      </c>
      <c r="K303" s="128"/>
      <c r="L303" s="128"/>
      <c r="M303" s="128"/>
      <c r="N303" s="128"/>
      <c r="O303" s="128"/>
      <c r="P303" s="128"/>
      <c r="Q303" s="128"/>
      <c r="R303" s="128"/>
      <c r="S303" s="128"/>
    </row>
    <row r="304" spans="1:19" ht="24.75" customHeight="1">
      <c r="A304" s="198"/>
      <c r="B304" s="222">
        <v>5</v>
      </c>
      <c r="C304" s="222">
        <v>3</v>
      </c>
      <c r="D304" s="223" t="s">
        <v>558</v>
      </c>
      <c r="E304" s="202">
        <v>244</v>
      </c>
      <c r="F304" s="202">
        <v>310</v>
      </c>
      <c r="G304" s="132"/>
      <c r="H304" s="132"/>
      <c r="I304" s="132">
        <v>110</v>
      </c>
      <c r="J304" s="132">
        <v>110</v>
      </c>
      <c r="K304" s="128"/>
      <c r="L304" s="128"/>
      <c r="M304" s="128"/>
      <c r="N304" s="128"/>
      <c r="O304" s="128"/>
      <c r="P304" s="128"/>
      <c r="Q304" s="128"/>
      <c r="R304" s="128"/>
      <c r="S304" s="128"/>
    </row>
    <row r="305" spans="1:19" ht="37.5" customHeight="1">
      <c r="A305" s="126" t="s">
        <v>413</v>
      </c>
      <c r="B305" s="222">
        <v>5</v>
      </c>
      <c r="C305" s="222">
        <v>3</v>
      </c>
      <c r="D305" s="127" t="s">
        <v>414</v>
      </c>
      <c r="E305" s="202"/>
      <c r="F305" s="202"/>
      <c r="G305" s="132">
        <f t="shared" ref="G305:J306" si="95">G306</f>
        <v>0</v>
      </c>
      <c r="H305" s="132">
        <f>H306</f>
        <v>120</v>
      </c>
      <c r="I305" s="132">
        <f t="shared" si="95"/>
        <v>120</v>
      </c>
      <c r="J305" s="132">
        <f t="shared" si="95"/>
        <v>120</v>
      </c>
      <c r="K305" s="128">
        <f t="shared" si="88"/>
        <v>0</v>
      </c>
      <c r="L305" s="128">
        <f t="shared" si="89"/>
        <v>100</v>
      </c>
      <c r="M305" s="128">
        <f t="shared" si="93"/>
        <v>0</v>
      </c>
      <c r="N305" s="128">
        <f t="shared" si="90"/>
        <v>100</v>
      </c>
      <c r="O305" s="128"/>
      <c r="P305" s="128">
        <f t="shared" si="91"/>
        <v>100</v>
      </c>
      <c r="Q305" s="128">
        <f t="shared" si="92"/>
        <v>120</v>
      </c>
      <c r="R305" s="128"/>
      <c r="S305" s="128">
        <f t="shared" ref="S305:S365" si="96">J305/$J$386*100</f>
        <v>0.11327887697641317</v>
      </c>
    </row>
    <row r="306" spans="1:19" ht="48" customHeight="1">
      <c r="A306" s="147" t="s">
        <v>539</v>
      </c>
      <c r="B306" s="222">
        <v>5</v>
      </c>
      <c r="C306" s="222">
        <v>3</v>
      </c>
      <c r="D306" s="215">
        <v>4060000000</v>
      </c>
      <c r="E306" s="202"/>
      <c r="F306" s="202"/>
      <c r="G306" s="132">
        <f t="shared" si="95"/>
        <v>0</v>
      </c>
      <c r="H306" s="132">
        <f>H307</f>
        <v>120</v>
      </c>
      <c r="I306" s="132">
        <f t="shared" si="95"/>
        <v>120</v>
      </c>
      <c r="J306" s="132">
        <f t="shared" si="95"/>
        <v>120</v>
      </c>
      <c r="K306" s="128">
        <f t="shared" si="88"/>
        <v>0</v>
      </c>
      <c r="L306" s="128">
        <f t="shared" si="89"/>
        <v>100</v>
      </c>
      <c r="M306" s="128">
        <f t="shared" si="93"/>
        <v>0</v>
      </c>
      <c r="N306" s="128">
        <f t="shared" si="90"/>
        <v>100</v>
      </c>
      <c r="O306" s="128"/>
      <c r="P306" s="128">
        <f t="shared" si="91"/>
        <v>100</v>
      </c>
      <c r="Q306" s="128">
        <f t="shared" si="92"/>
        <v>120</v>
      </c>
      <c r="R306" s="128"/>
      <c r="S306" s="128">
        <f t="shared" si="96"/>
        <v>0.11327887697641317</v>
      </c>
    </row>
    <row r="307" spans="1:19" ht="24" customHeight="1">
      <c r="A307" s="130" t="s">
        <v>504</v>
      </c>
      <c r="B307" s="222">
        <v>5</v>
      </c>
      <c r="C307" s="222">
        <v>3</v>
      </c>
      <c r="D307" s="223" t="s">
        <v>542</v>
      </c>
      <c r="E307" s="202"/>
      <c r="F307" s="202"/>
      <c r="G307" s="132">
        <f>SUM(G308)</f>
        <v>0</v>
      </c>
      <c r="H307" s="132">
        <f>SUM(H308)</f>
        <v>120</v>
      </c>
      <c r="I307" s="132">
        <f>SUM(I308)</f>
        <v>120</v>
      </c>
      <c r="J307" s="132">
        <f>SUM(J308)</f>
        <v>120</v>
      </c>
      <c r="K307" s="128">
        <f t="shared" si="88"/>
        <v>0</v>
      </c>
      <c r="L307" s="128">
        <f t="shared" si="89"/>
        <v>100</v>
      </c>
      <c r="M307" s="128">
        <f t="shared" si="93"/>
        <v>0</v>
      </c>
      <c r="N307" s="128">
        <f t="shared" si="90"/>
        <v>100</v>
      </c>
      <c r="O307" s="128"/>
      <c r="P307" s="128">
        <f t="shared" si="91"/>
        <v>100</v>
      </c>
      <c r="Q307" s="128">
        <f t="shared" si="92"/>
        <v>120</v>
      </c>
      <c r="R307" s="128"/>
      <c r="S307" s="128">
        <f t="shared" si="96"/>
        <v>0.11327887697641317</v>
      </c>
    </row>
    <row r="308" spans="1:19" ht="43.5" customHeight="1">
      <c r="A308" s="173" t="s">
        <v>431</v>
      </c>
      <c r="B308" s="222">
        <v>5</v>
      </c>
      <c r="C308" s="222">
        <v>3</v>
      </c>
      <c r="D308" s="223" t="s">
        <v>542</v>
      </c>
      <c r="E308" s="202">
        <v>200</v>
      </c>
      <c r="F308" s="202"/>
      <c r="G308" s="132">
        <f>G309</f>
        <v>0</v>
      </c>
      <c r="H308" s="132">
        <f>H309</f>
        <v>120</v>
      </c>
      <c r="I308" s="132">
        <f>I309</f>
        <v>120</v>
      </c>
      <c r="J308" s="132">
        <f>J309</f>
        <v>120</v>
      </c>
      <c r="K308" s="128">
        <f t="shared" si="88"/>
        <v>0</v>
      </c>
      <c r="L308" s="128">
        <f t="shared" si="89"/>
        <v>100</v>
      </c>
      <c r="M308" s="128">
        <f t="shared" si="93"/>
        <v>0</v>
      </c>
      <c r="N308" s="128">
        <f t="shared" si="90"/>
        <v>100</v>
      </c>
      <c r="O308" s="128"/>
      <c r="P308" s="128">
        <f t="shared" si="91"/>
        <v>100</v>
      </c>
      <c r="Q308" s="128">
        <f t="shared" si="92"/>
        <v>120</v>
      </c>
      <c r="R308" s="128"/>
      <c r="S308" s="128">
        <f t="shared" si="96"/>
        <v>0.11327887697641317</v>
      </c>
    </row>
    <row r="309" spans="1:19" ht="47.25" customHeight="1">
      <c r="A309" s="198" t="s">
        <v>433</v>
      </c>
      <c r="B309" s="222">
        <v>5</v>
      </c>
      <c r="C309" s="222">
        <v>3</v>
      </c>
      <c r="D309" s="223" t="s">
        <v>542</v>
      </c>
      <c r="E309" s="202">
        <v>244</v>
      </c>
      <c r="F309" s="202">
        <v>222</v>
      </c>
      <c r="G309" s="132"/>
      <c r="H309" s="132">
        <v>120</v>
      </c>
      <c r="I309" s="132">
        <v>120</v>
      </c>
      <c r="J309" s="132">
        <v>120</v>
      </c>
      <c r="K309" s="128">
        <f t="shared" si="88"/>
        <v>0</v>
      </c>
      <c r="L309" s="128">
        <f t="shared" si="89"/>
        <v>100</v>
      </c>
      <c r="M309" s="128">
        <f t="shared" si="93"/>
        <v>0</v>
      </c>
      <c r="N309" s="128">
        <f t="shared" si="90"/>
        <v>100</v>
      </c>
      <c r="O309" s="128"/>
      <c r="P309" s="128">
        <f t="shared" si="91"/>
        <v>100</v>
      </c>
      <c r="Q309" s="128">
        <f t="shared" si="92"/>
        <v>120</v>
      </c>
      <c r="R309" s="128"/>
      <c r="S309" s="128">
        <f t="shared" si="96"/>
        <v>0.11327887697641317</v>
      </c>
    </row>
    <row r="310" spans="1:19" s="122" customFormat="1" ht="25.5" customHeight="1">
      <c r="A310" s="224" t="s">
        <v>383</v>
      </c>
      <c r="B310" s="225">
        <v>6</v>
      </c>
      <c r="C310" s="225"/>
      <c r="D310" s="226"/>
      <c r="E310" s="227"/>
      <c r="F310" s="228"/>
      <c r="G310" s="229">
        <f>SUM(G311)</f>
        <v>0</v>
      </c>
      <c r="H310" s="229">
        <f>SUM(H311)</f>
        <v>1489.4</v>
      </c>
      <c r="I310" s="229">
        <f>SUM(I311)</f>
        <v>1489.39357</v>
      </c>
      <c r="J310" s="229">
        <f>SUM(J311)</f>
        <v>1489.39357</v>
      </c>
      <c r="K310" s="121">
        <f t="shared" si="88"/>
        <v>-6.4300000001367152E-3</v>
      </c>
      <c r="L310" s="121">
        <f t="shared" si="89"/>
        <v>99.999568282529879</v>
      </c>
      <c r="M310" s="121">
        <f t="shared" si="93"/>
        <v>0</v>
      </c>
      <c r="N310" s="121">
        <f t="shared" si="90"/>
        <v>100</v>
      </c>
      <c r="O310" s="121"/>
      <c r="P310" s="121">
        <f t="shared" si="91"/>
        <v>99.999568282529879</v>
      </c>
      <c r="Q310" s="121">
        <f t="shared" si="92"/>
        <v>1489.4</v>
      </c>
      <c r="R310" s="121"/>
      <c r="S310" s="121">
        <f t="shared" si="96"/>
        <v>1.405973591545757</v>
      </c>
    </row>
    <row r="311" spans="1:19" s="122" customFormat="1" ht="40.5" customHeight="1">
      <c r="A311" s="196" t="s">
        <v>384</v>
      </c>
      <c r="B311" s="230">
        <v>6</v>
      </c>
      <c r="C311" s="230">
        <v>5</v>
      </c>
      <c r="D311" s="124"/>
      <c r="E311" s="165"/>
      <c r="F311" s="231"/>
      <c r="G311" s="232">
        <f t="shared" ref="G311:J313" si="97">G312</f>
        <v>0</v>
      </c>
      <c r="H311" s="232">
        <f t="shared" si="97"/>
        <v>1489.4</v>
      </c>
      <c r="I311" s="232">
        <f t="shared" si="97"/>
        <v>1489.39357</v>
      </c>
      <c r="J311" s="232">
        <f t="shared" si="97"/>
        <v>1489.39357</v>
      </c>
      <c r="K311" s="125">
        <f t="shared" si="88"/>
        <v>-6.4300000001367152E-3</v>
      </c>
      <c r="L311" s="125">
        <f t="shared" si="89"/>
        <v>99.999568282529879</v>
      </c>
      <c r="M311" s="125">
        <f t="shared" si="93"/>
        <v>0</v>
      </c>
      <c r="N311" s="125">
        <f t="shared" si="90"/>
        <v>100</v>
      </c>
      <c r="O311" s="125"/>
      <c r="P311" s="125">
        <f t="shared" si="91"/>
        <v>99.999568282529879</v>
      </c>
      <c r="Q311" s="125">
        <f t="shared" si="92"/>
        <v>1489.4</v>
      </c>
      <c r="R311" s="125"/>
      <c r="S311" s="125">
        <f t="shared" si="96"/>
        <v>1.405973591545757</v>
      </c>
    </row>
    <row r="312" spans="1:19" ht="60.75" customHeight="1">
      <c r="A312" s="126" t="s">
        <v>532</v>
      </c>
      <c r="B312" s="159">
        <v>6</v>
      </c>
      <c r="C312" s="159">
        <v>5</v>
      </c>
      <c r="D312" s="127" t="s">
        <v>533</v>
      </c>
      <c r="E312" s="144"/>
      <c r="F312" s="233"/>
      <c r="G312" s="233">
        <f t="shared" si="97"/>
        <v>0</v>
      </c>
      <c r="H312" s="233">
        <f t="shared" si="97"/>
        <v>1489.4</v>
      </c>
      <c r="I312" s="233">
        <f t="shared" si="97"/>
        <v>1489.39357</v>
      </c>
      <c r="J312" s="233">
        <f t="shared" si="97"/>
        <v>1489.39357</v>
      </c>
      <c r="K312" s="128">
        <f t="shared" si="88"/>
        <v>-6.4300000001367152E-3</v>
      </c>
      <c r="L312" s="128">
        <f t="shared" si="89"/>
        <v>99.999568282529879</v>
      </c>
      <c r="M312" s="128">
        <f t="shared" si="93"/>
        <v>0</v>
      </c>
      <c r="N312" s="128">
        <f t="shared" si="90"/>
        <v>100</v>
      </c>
      <c r="O312" s="128"/>
      <c r="P312" s="128">
        <f t="shared" si="91"/>
        <v>99.999568282529879</v>
      </c>
      <c r="Q312" s="128">
        <f t="shared" si="92"/>
        <v>1489.4</v>
      </c>
      <c r="R312" s="128"/>
      <c r="S312" s="128">
        <f t="shared" si="96"/>
        <v>1.405973591545757</v>
      </c>
    </row>
    <row r="313" spans="1:19" ht="49.5" customHeight="1">
      <c r="A313" s="130" t="s">
        <v>534</v>
      </c>
      <c r="B313" s="159">
        <v>6</v>
      </c>
      <c r="C313" s="159">
        <v>5</v>
      </c>
      <c r="D313" s="207" t="s">
        <v>535</v>
      </c>
      <c r="E313" s="143"/>
      <c r="F313" s="234"/>
      <c r="G313" s="235">
        <f t="shared" si="97"/>
        <v>0</v>
      </c>
      <c r="H313" s="235">
        <f t="shared" si="97"/>
        <v>1489.4</v>
      </c>
      <c r="I313" s="235">
        <f t="shared" si="97"/>
        <v>1489.39357</v>
      </c>
      <c r="J313" s="235">
        <f t="shared" si="97"/>
        <v>1489.39357</v>
      </c>
      <c r="K313" s="128">
        <f t="shared" si="88"/>
        <v>-6.4300000001367152E-3</v>
      </c>
      <c r="L313" s="128">
        <f t="shared" si="89"/>
        <v>99.999568282529879</v>
      </c>
      <c r="M313" s="128">
        <f t="shared" si="93"/>
        <v>0</v>
      </c>
      <c r="N313" s="128">
        <f t="shared" si="90"/>
        <v>100</v>
      </c>
      <c r="O313" s="128"/>
      <c r="P313" s="128">
        <f t="shared" si="91"/>
        <v>99.999568282529879</v>
      </c>
      <c r="Q313" s="128">
        <f t="shared" si="92"/>
        <v>1489.4</v>
      </c>
      <c r="R313" s="128"/>
      <c r="S313" s="128">
        <f t="shared" si="96"/>
        <v>1.405973591545757</v>
      </c>
    </row>
    <row r="314" spans="1:19" ht="38.25" customHeight="1">
      <c r="A314" s="236" t="s">
        <v>559</v>
      </c>
      <c r="B314" s="159">
        <v>6</v>
      </c>
      <c r="C314" s="159">
        <v>5</v>
      </c>
      <c r="D314" s="207" t="s">
        <v>560</v>
      </c>
      <c r="E314" s="143"/>
      <c r="F314" s="234"/>
      <c r="G314" s="235">
        <f>SUM(G315)</f>
        <v>0</v>
      </c>
      <c r="H314" s="235">
        <f>SUM(H315)</f>
        <v>1489.4</v>
      </c>
      <c r="I314" s="235">
        <f>SUM(I315)</f>
        <v>1489.39357</v>
      </c>
      <c r="J314" s="235">
        <f>SUM(J315)</f>
        <v>1489.39357</v>
      </c>
      <c r="K314" s="128">
        <f t="shared" si="88"/>
        <v>-6.4300000001367152E-3</v>
      </c>
      <c r="L314" s="128">
        <f t="shared" si="89"/>
        <v>99.999568282529879</v>
      </c>
      <c r="M314" s="128">
        <f t="shared" si="93"/>
        <v>0</v>
      </c>
      <c r="N314" s="128">
        <f t="shared" si="90"/>
        <v>100</v>
      </c>
      <c r="O314" s="128"/>
      <c r="P314" s="128">
        <f t="shared" si="91"/>
        <v>99.999568282529879</v>
      </c>
      <c r="Q314" s="128">
        <f t="shared" si="92"/>
        <v>1489.4</v>
      </c>
      <c r="R314" s="128"/>
      <c r="S314" s="128">
        <f t="shared" si="96"/>
        <v>1.405973591545757</v>
      </c>
    </row>
    <row r="315" spans="1:19" ht="38.25" customHeight="1">
      <c r="A315" s="126" t="s">
        <v>431</v>
      </c>
      <c r="B315" s="159">
        <v>6</v>
      </c>
      <c r="C315" s="159">
        <v>5</v>
      </c>
      <c r="D315" s="207" t="s">
        <v>560</v>
      </c>
      <c r="E315" s="143">
        <v>200</v>
      </c>
      <c r="F315" s="234"/>
      <c r="G315" s="210">
        <f>G316</f>
        <v>0</v>
      </c>
      <c r="H315" s="210">
        <f>H316</f>
        <v>1489.4</v>
      </c>
      <c r="I315" s="210">
        <f>I316</f>
        <v>1489.39357</v>
      </c>
      <c r="J315" s="210">
        <f>J316</f>
        <v>1489.39357</v>
      </c>
      <c r="K315" s="128">
        <f t="shared" si="88"/>
        <v>-6.4300000001367152E-3</v>
      </c>
      <c r="L315" s="128">
        <f t="shared" si="89"/>
        <v>99.999568282529879</v>
      </c>
      <c r="M315" s="128">
        <f t="shared" si="93"/>
        <v>0</v>
      </c>
      <c r="N315" s="128">
        <f t="shared" si="90"/>
        <v>100</v>
      </c>
      <c r="O315" s="128"/>
      <c r="P315" s="128">
        <f t="shared" si="91"/>
        <v>99.999568282529879</v>
      </c>
      <c r="Q315" s="128">
        <f t="shared" si="92"/>
        <v>1489.4</v>
      </c>
      <c r="R315" s="128"/>
      <c r="S315" s="128">
        <f t="shared" si="96"/>
        <v>1.405973591545757</v>
      </c>
    </row>
    <row r="316" spans="1:19" ht="38.25" customHeight="1">
      <c r="A316" s="130" t="s">
        <v>433</v>
      </c>
      <c r="B316" s="159">
        <v>6</v>
      </c>
      <c r="C316" s="159">
        <v>5</v>
      </c>
      <c r="D316" s="207" t="s">
        <v>560</v>
      </c>
      <c r="E316" s="143">
        <v>244</v>
      </c>
      <c r="F316" s="234">
        <v>225</v>
      </c>
      <c r="G316" s="210"/>
      <c r="H316" s="210">
        <v>1489.4</v>
      </c>
      <c r="I316" s="210">
        <v>1489.39357</v>
      </c>
      <c r="J316" s="210">
        <v>1489.39357</v>
      </c>
      <c r="K316" s="128">
        <f t="shared" si="88"/>
        <v>-6.4300000001367152E-3</v>
      </c>
      <c r="L316" s="128">
        <f t="shared" si="89"/>
        <v>99.999568282529879</v>
      </c>
      <c r="M316" s="128">
        <f t="shared" si="93"/>
        <v>0</v>
      </c>
      <c r="N316" s="128">
        <f t="shared" si="90"/>
        <v>100</v>
      </c>
      <c r="O316" s="128"/>
      <c r="P316" s="128">
        <f t="shared" si="91"/>
        <v>99.999568282529879</v>
      </c>
      <c r="Q316" s="128">
        <f t="shared" si="92"/>
        <v>1489.4</v>
      </c>
      <c r="R316" s="128"/>
      <c r="S316" s="128">
        <f t="shared" si="96"/>
        <v>1.405973591545757</v>
      </c>
    </row>
    <row r="317" spans="1:19" s="122" customFormat="1" ht="29.25" customHeight="1">
      <c r="A317" s="224" t="s">
        <v>385</v>
      </c>
      <c r="B317" s="225">
        <v>7</v>
      </c>
      <c r="C317" s="225"/>
      <c r="D317" s="226"/>
      <c r="E317" s="227"/>
      <c r="F317" s="227"/>
      <c r="G317" s="121">
        <f>SUM(G318)</f>
        <v>0</v>
      </c>
      <c r="H317" s="121">
        <f>SUM(H318)</f>
        <v>87.2</v>
      </c>
      <c r="I317" s="121">
        <f>SUM(I318)</f>
        <v>87.2</v>
      </c>
      <c r="J317" s="121">
        <f>SUM(J318)</f>
        <v>87.2</v>
      </c>
      <c r="K317" s="121">
        <f t="shared" si="88"/>
        <v>0</v>
      </c>
      <c r="L317" s="121">
        <f t="shared" si="89"/>
        <v>100</v>
      </c>
      <c r="M317" s="121">
        <f t="shared" si="93"/>
        <v>0</v>
      </c>
      <c r="N317" s="121">
        <f t="shared" si="90"/>
        <v>100</v>
      </c>
      <c r="O317" s="121"/>
      <c r="P317" s="121">
        <f t="shared" si="91"/>
        <v>100</v>
      </c>
      <c r="Q317" s="121">
        <f t="shared" si="92"/>
        <v>87.2</v>
      </c>
      <c r="R317" s="121"/>
      <c r="S317" s="121">
        <f t="shared" si="96"/>
        <v>8.2315983936193576E-2</v>
      </c>
    </row>
    <row r="318" spans="1:19" s="122" customFormat="1" ht="39.75" customHeight="1">
      <c r="A318" s="196" t="s">
        <v>386</v>
      </c>
      <c r="B318" s="230">
        <v>7</v>
      </c>
      <c r="C318" s="230">
        <v>5</v>
      </c>
      <c r="D318" s="124"/>
      <c r="E318" s="124"/>
      <c r="F318" s="124"/>
      <c r="G318" s="125">
        <f>G320</f>
        <v>0</v>
      </c>
      <c r="H318" s="125">
        <f>H320</f>
        <v>87.2</v>
      </c>
      <c r="I318" s="125">
        <f>I320</f>
        <v>87.2</v>
      </c>
      <c r="J318" s="125">
        <f>J320</f>
        <v>87.2</v>
      </c>
      <c r="K318" s="125">
        <f t="shared" si="88"/>
        <v>0</v>
      </c>
      <c r="L318" s="125">
        <f t="shared" si="89"/>
        <v>100</v>
      </c>
      <c r="M318" s="125">
        <f t="shared" si="93"/>
        <v>0</v>
      </c>
      <c r="N318" s="125">
        <f t="shared" si="90"/>
        <v>100</v>
      </c>
      <c r="O318" s="125"/>
      <c r="P318" s="125">
        <f t="shared" si="91"/>
        <v>100</v>
      </c>
      <c r="Q318" s="125">
        <f t="shared" si="92"/>
        <v>87.2</v>
      </c>
      <c r="R318" s="125"/>
      <c r="S318" s="125">
        <f t="shared" si="96"/>
        <v>8.2315983936193576E-2</v>
      </c>
    </row>
    <row r="319" spans="1:19" ht="27.75" customHeight="1">
      <c r="A319" s="126" t="s">
        <v>413</v>
      </c>
      <c r="B319" s="159"/>
      <c r="C319" s="159"/>
      <c r="D319" s="127" t="s">
        <v>414</v>
      </c>
      <c r="E319" s="127"/>
      <c r="F319" s="127"/>
      <c r="G319" s="128">
        <f>SUM(G320)</f>
        <v>0</v>
      </c>
      <c r="H319" s="128">
        <f>SUM(H320)</f>
        <v>87.2</v>
      </c>
      <c r="I319" s="128">
        <f>SUM(I320)</f>
        <v>87.2</v>
      </c>
      <c r="J319" s="128">
        <f>SUM(J320)</f>
        <v>87.2</v>
      </c>
      <c r="K319" s="128">
        <f t="shared" si="88"/>
        <v>0</v>
      </c>
      <c r="L319" s="128">
        <f t="shared" si="89"/>
        <v>100</v>
      </c>
      <c r="M319" s="128">
        <f t="shared" si="93"/>
        <v>0</v>
      </c>
      <c r="N319" s="128">
        <f t="shared" si="90"/>
        <v>100</v>
      </c>
      <c r="O319" s="128"/>
      <c r="P319" s="128">
        <f t="shared" si="91"/>
        <v>100</v>
      </c>
      <c r="Q319" s="128">
        <f t="shared" si="92"/>
        <v>87.2</v>
      </c>
      <c r="R319" s="128"/>
      <c r="S319" s="128">
        <f t="shared" si="96"/>
        <v>8.2315983936193576E-2</v>
      </c>
    </row>
    <row r="320" spans="1:19" ht="60" customHeight="1">
      <c r="A320" s="126" t="s">
        <v>415</v>
      </c>
      <c r="B320" s="159">
        <v>7</v>
      </c>
      <c r="C320" s="159">
        <v>5</v>
      </c>
      <c r="D320" s="127" t="s">
        <v>416</v>
      </c>
      <c r="E320" s="127"/>
      <c r="F320" s="127"/>
      <c r="G320" s="128">
        <f t="shared" ref="G320:J321" si="98">G321</f>
        <v>0</v>
      </c>
      <c r="H320" s="128">
        <f>H321</f>
        <v>87.2</v>
      </c>
      <c r="I320" s="128">
        <f t="shared" si="98"/>
        <v>87.2</v>
      </c>
      <c r="J320" s="128">
        <f t="shared" si="98"/>
        <v>87.2</v>
      </c>
      <c r="K320" s="128">
        <f t="shared" si="88"/>
        <v>0</v>
      </c>
      <c r="L320" s="128">
        <f t="shared" si="89"/>
        <v>100</v>
      </c>
      <c r="M320" s="128">
        <f t="shared" si="93"/>
        <v>0</v>
      </c>
      <c r="N320" s="128">
        <f t="shared" si="90"/>
        <v>100</v>
      </c>
      <c r="O320" s="128"/>
      <c r="P320" s="128">
        <f t="shared" si="91"/>
        <v>100</v>
      </c>
      <c r="Q320" s="128">
        <f t="shared" si="92"/>
        <v>87.2</v>
      </c>
      <c r="R320" s="128"/>
      <c r="S320" s="128">
        <f t="shared" si="96"/>
        <v>8.2315983936193576E-2</v>
      </c>
    </row>
    <row r="321" spans="1:19" ht="32.25" customHeight="1">
      <c r="A321" s="126" t="s">
        <v>448</v>
      </c>
      <c r="B321" s="159">
        <v>7</v>
      </c>
      <c r="C321" s="159">
        <v>5</v>
      </c>
      <c r="D321" s="127" t="s">
        <v>449</v>
      </c>
      <c r="E321" s="127"/>
      <c r="F321" s="127"/>
      <c r="G321" s="128">
        <f t="shared" si="98"/>
        <v>0</v>
      </c>
      <c r="H321" s="128">
        <f>H322</f>
        <v>87.2</v>
      </c>
      <c r="I321" s="128">
        <f t="shared" si="98"/>
        <v>87.2</v>
      </c>
      <c r="J321" s="128">
        <f t="shared" si="98"/>
        <v>87.2</v>
      </c>
      <c r="K321" s="128">
        <f t="shared" si="88"/>
        <v>0</v>
      </c>
      <c r="L321" s="128">
        <f t="shared" si="89"/>
        <v>100</v>
      </c>
      <c r="M321" s="128">
        <f t="shared" si="93"/>
        <v>0</v>
      </c>
      <c r="N321" s="128">
        <f t="shared" si="90"/>
        <v>100</v>
      </c>
      <c r="O321" s="128"/>
      <c r="P321" s="128">
        <f t="shared" si="91"/>
        <v>100</v>
      </c>
      <c r="Q321" s="128">
        <f t="shared" si="92"/>
        <v>87.2</v>
      </c>
      <c r="R321" s="128"/>
      <c r="S321" s="128">
        <f t="shared" si="96"/>
        <v>8.2315983936193576E-2</v>
      </c>
    </row>
    <row r="322" spans="1:19" ht="43.5" customHeight="1">
      <c r="A322" s="173" t="s">
        <v>431</v>
      </c>
      <c r="B322" s="159">
        <v>7</v>
      </c>
      <c r="C322" s="159">
        <v>5</v>
      </c>
      <c r="D322" s="223" t="s">
        <v>449</v>
      </c>
      <c r="E322" s="202">
        <v>200</v>
      </c>
      <c r="F322" s="202"/>
      <c r="G322" s="132">
        <f>SUM(G323)</f>
        <v>0</v>
      </c>
      <c r="H322" s="132">
        <f>SUM(H323)</f>
        <v>87.2</v>
      </c>
      <c r="I322" s="132">
        <f>SUM(I323)</f>
        <v>87.2</v>
      </c>
      <c r="J322" s="132">
        <f>SUM(J323)</f>
        <v>87.2</v>
      </c>
      <c r="K322" s="128">
        <f t="shared" si="88"/>
        <v>0</v>
      </c>
      <c r="L322" s="128">
        <f t="shared" si="89"/>
        <v>100</v>
      </c>
      <c r="M322" s="128">
        <f t="shared" si="93"/>
        <v>0</v>
      </c>
      <c r="N322" s="128">
        <f t="shared" si="90"/>
        <v>100</v>
      </c>
      <c r="O322" s="128"/>
      <c r="P322" s="128">
        <f t="shared" si="91"/>
        <v>100</v>
      </c>
      <c r="Q322" s="128">
        <f t="shared" si="92"/>
        <v>87.2</v>
      </c>
      <c r="R322" s="128"/>
      <c r="S322" s="128">
        <f t="shared" si="96"/>
        <v>8.2315983936193576E-2</v>
      </c>
    </row>
    <row r="323" spans="1:19" ht="46.5" customHeight="1">
      <c r="A323" s="198" t="s">
        <v>433</v>
      </c>
      <c r="B323" s="159">
        <v>7</v>
      </c>
      <c r="C323" s="159">
        <v>5</v>
      </c>
      <c r="D323" s="223" t="s">
        <v>449</v>
      </c>
      <c r="E323" s="202">
        <v>244</v>
      </c>
      <c r="F323" s="202">
        <v>226</v>
      </c>
      <c r="G323" s="132"/>
      <c r="H323" s="132">
        <v>87.2</v>
      </c>
      <c r="I323" s="132">
        <v>87.2</v>
      </c>
      <c r="J323" s="132">
        <v>87.2</v>
      </c>
      <c r="K323" s="128">
        <f t="shared" si="88"/>
        <v>0</v>
      </c>
      <c r="L323" s="128">
        <f t="shared" si="89"/>
        <v>100</v>
      </c>
      <c r="M323" s="128">
        <f t="shared" si="93"/>
        <v>0</v>
      </c>
      <c r="N323" s="128">
        <f t="shared" si="90"/>
        <v>100</v>
      </c>
      <c r="O323" s="128"/>
      <c r="P323" s="128">
        <f t="shared" si="91"/>
        <v>100</v>
      </c>
      <c r="Q323" s="128">
        <f t="shared" si="92"/>
        <v>87.2</v>
      </c>
      <c r="R323" s="128"/>
      <c r="S323" s="128">
        <f t="shared" si="96"/>
        <v>8.2315983936193576E-2</v>
      </c>
    </row>
    <row r="324" spans="1:19" s="122" customFormat="1" ht="32.25" customHeight="1">
      <c r="A324" s="167" t="s">
        <v>388</v>
      </c>
      <c r="B324" s="237">
        <v>8</v>
      </c>
      <c r="C324" s="163"/>
      <c r="D324" s="163"/>
      <c r="E324" s="163"/>
      <c r="F324" s="163"/>
      <c r="G324" s="121">
        <f>G325+G337</f>
        <v>9301.5</v>
      </c>
      <c r="H324" s="121">
        <f>H325+H337</f>
        <v>10704.900000000001</v>
      </c>
      <c r="I324" s="121">
        <f>I325+I337</f>
        <v>10704.894</v>
      </c>
      <c r="J324" s="121">
        <f>J325+J337</f>
        <v>10680.86</v>
      </c>
      <c r="K324" s="121">
        <f t="shared" si="88"/>
        <v>-6.0000000012223609E-3</v>
      </c>
      <c r="L324" s="121">
        <f t="shared" si="89"/>
        <v>99.999943950900985</v>
      </c>
      <c r="M324" s="121">
        <f t="shared" si="93"/>
        <v>-24.033999999999651</v>
      </c>
      <c r="N324" s="121">
        <f t="shared" si="90"/>
        <v>99.775485866557858</v>
      </c>
      <c r="O324" s="121">
        <f t="shared" ref="O324:O333" si="99">J324/G324*100</f>
        <v>114.829436112455</v>
      </c>
      <c r="P324" s="121">
        <f t="shared" si="91"/>
        <v>99.775429943296984</v>
      </c>
      <c r="Q324" s="121">
        <f t="shared" si="92"/>
        <v>1403.4000000000015</v>
      </c>
      <c r="R324" s="121">
        <f t="shared" ref="R324:R333" si="100">H324/G324*100</f>
        <v>115.08788905015321</v>
      </c>
      <c r="S324" s="121">
        <f t="shared" si="96"/>
        <v>10.082631882852439</v>
      </c>
    </row>
    <row r="325" spans="1:19" s="122" customFormat="1" ht="33.75" customHeight="1">
      <c r="A325" s="135" t="s">
        <v>561</v>
      </c>
      <c r="B325" s="186">
        <v>8</v>
      </c>
      <c r="C325" s="238">
        <v>1</v>
      </c>
      <c r="D325" s="165"/>
      <c r="E325" s="165"/>
      <c r="F325" s="165"/>
      <c r="G325" s="125">
        <f>G326</f>
        <v>8927.5</v>
      </c>
      <c r="H325" s="125">
        <f>H326</f>
        <v>10280.900000000001</v>
      </c>
      <c r="I325" s="125">
        <f>I326</f>
        <v>10280.894</v>
      </c>
      <c r="J325" s="125">
        <f>J326</f>
        <v>10256.86</v>
      </c>
      <c r="K325" s="125">
        <f t="shared" si="88"/>
        <v>-6.0000000012223609E-3</v>
      </c>
      <c r="L325" s="125">
        <f t="shared" si="89"/>
        <v>99.999941639350638</v>
      </c>
      <c r="M325" s="125">
        <f t="shared" si="93"/>
        <v>-24.033999999999651</v>
      </c>
      <c r="N325" s="125">
        <f t="shared" si="90"/>
        <v>99.766226555783959</v>
      </c>
      <c r="O325" s="125">
        <f t="shared" si="99"/>
        <v>114.89061887426493</v>
      </c>
      <c r="P325" s="125">
        <f t="shared" si="91"/>
        <v>99.766168331566291</v>
      </c>
      <c r="Q325" s="125">
        <f t="shared" si="92"/>
        <v>1353.4000000000015</v>
      </c>
      <c r="R325" s="125">
        <f t="shared" si="100"/>
        <v>115.15989918790257</v>
      </c>
      <c r="S325" s="125">
        <f t="shared" si="96"/>
        <v>9.6823798508691112</v>
      </c>
    </row>
    <row r="326" spans="1:19" ht="38.25" customHeight="1">
      <c r="A326" s="126" t="s">
        <v>413</v>
      </c>
      <c r="B326" s="156">
        <v>8</v>
      </c>
      <c r="C326" s="157">
        <v>1</v>
      </c>
      <c r="D326" s="127" t="s">
        <v>414</v>
      </c>
      <c r="E326" s="144"/>
      <c r="F326" s="144"/>
      <c r="G326" s="132">
        <f>SUM(G327)</f>
        <v>8927.5</v>
      </c>
      <c r="H326" s="132">
        <f>SUM(H327)</f>
        <v>10280.900000000001</v>
      </c>
      <c r="I326" s="132">
        <f>SUM(I327)</f>
        <v>10280.894</v>
      </c>
      <c r="J326" s="132">
        <f>SUM(J327)</f>
        <v>10256.86</v>
      </c>
      <c r="K326" s="128">
        <f t="shared" si="88"/>
        <v>-6.0000000012223609E-3</v>
      </c>
      <c r="L326" s="128">
        <f t="shared" si="89"/>
        <v>99.999941639350638</v>
      </c>
      <c r="M326" s="128">
        <f t="shared" si="93"/>
        <v>-24.033999999999651</v>
      </c>
      <c r="N326" s="128">
        <f t="shared" si="90"/>
        <v>99.766226555783959</v>
      </c>
      <c r="O326" s="128">
        <f t="shared" si="99"/>
        <v>114.89061887426493</v>
      </c>
      <c r="P326" s="128">
        <f t="shared" si="91"/>
        <v>99.766168331566291</v>
      </c>
      <c r="Q326" s="128">
        <f t="shared" si="92"/>
        <v>1353.4000000000015</v>
      </c>
      <c r="R326" s="128">
        <f t="shared" si="100"/>
        <v>115.15989918790257</v>
      </c>
      <c r="S326" s="128">
        <f t="shared" si="96"/>
        <v>9.6823798508691112</v>
      </c>
    </row>
    <row r="327" spans="1:19" ht="49.5" customHeight="1">
      <c r="A327" s="126" t="s">
        <v>489</v>
      </c>
      <c r="B327" s="156">
        <v>8</v>
      </c>
      <c r="C327" s="157">
        <v>1</v>
      </c>
      <c r="D327" s="127" t="s">
        <v>562</v>
      </c>
      <c r="E327" s="144"/>
      <c r="F327" s="144"/>
      <c r="G327" s="132">
        <f>SUM(G328)+G331+G334</f>
        <v>8927.5</v>
      </c>
      <c r="H327" s="132">
        <f>SUM(H328)+H331+H334</f>
        <v>10280.900000000001</v>
      </c>
      <c r="I327" s="132">
        <f>SUM(I328)+I331+I334</f>
        <v>10280.894</v>
      </c>
      <c r="J327" s="132">
        <f>SUM(J328)+J331+J334</f>
        <v>10256.86</v>
      </c>
      <c r="K327" s="128">
        <f t="shared" si="88"/>
        <v>-6.0000000012223609E-3</v>
      </c>
      <c r="L327" s="128">
        <f t="shared" si="89"/>
        <v>99.999941639350638</v>
      </c>
      <c r="M327" s="128">
        <f t="shared" si="93"/>
        <v>-24.033999999999651</v>
      </c>
      <c r="N327" s="128">
        <f t="shared" si="90"/>
        <v>99.766226555783959</v>
      </c>
      <c r="O327" s="128">
        <f t="shared" si="99"/>
        <v>114.89061887426493</v>
      </c>
      <c r="P327" s="128">
        <f t="shared" si="91"/>
        <v>99.766168331566291</v>
      </c>
      <c r="Q327" s="128">
        <f t="shared" si="92"/>
        <v>1353.4000000000015</v>
      </c>
      <c r="R327" s="128">
        <f t="shared" si="100"/>
        <v>115.15989918790257</v>
      </c>
      <c r="S327" s="128">
        <f t="shared" si="96"/>
        <v>9.6823798508691112</v>
      </c>
    </row>
    <row r="328" spans="1:19" ht="46.5" customHeight="1">
      <c r="A328" s="126" t="s">
        <v>563</v>
      </c>
      <c r="B328" s="156">
        <v>8</v>
      </c>
      <c r="C328" s="157">
        <v>1</v>
      </c>
      <c r="D328" s="127" t="s">
        <v>564</v>
      </c>
      <c r="E328" s="144"/>
      <c r="F328" s="144"/>
      <c r="G328" s="132">
        <f>SUM(G329)</f>
        <v>8862.7999999999993</v>
      </c>
      <c r="H328" s="132">
        <f>SUM(H329)</f>
        <v>10094.200000000001</v>
      </c>
      <c r="I328" s="132">
        <f>SUM(I329)</f>
        <v>10094.200000000001</v>
      </c>
      <c r="J328" s="132">
        <f>SUM(J329)</f>
        <v>10094.200000000001</v>
      </c>
      <c r="K328" s="128">
        <f t="shared" si="88"/>
        <v>0</v>
      </c>
      <c r="L328" s="128">
        <f t="shared" si="89"/>
        <v>100</v>
      </c>
      <c r="M328" s="128">
        <f t="shared" si="93"/>
        <v>0</v>
      </c>
      <c r="N328" s="128">
        <f t="shared" si="90"/>
        <v>100</v>
      </c>
      <c r="O328" s="128">
        <f t="shared" si="99"/>
        <v>113.89402897504178</v>
      </c>
      <c r="P328" s="128">
        <f t="shared" si="91"/>
        <v>100</v>
      </c>
      <c r="Q328" s="128">
        <f t="shared" si="92"/>
        <v>1231.4000000000015</v>
      </c>
      <c r="R328" s="128">
        <f t="shared" si="100"/>
        <v>113.89402897504178</v>
      </c>
      <c r="S328" s="128">
        <f t="shared" si="96"/>
        <v>9.5288303331275834</v>
      </c>
    </row>
    <row r="329" spans="1:19" ht="47.25" customHeight="1">
      <c r="A329" s="139" t="s">
        <v>565</v>
      </c>
      <c r="B329" s="156">
        <v>8</v>
      </c>
      <c r="C329" s="157">
        <v>1</v>
      </c>
      <c r="D329" s="127" t="s">
        <v>564</v>
      </c>
      <c r="E329" s="144">
        <v>600</v>
      </c>
      <c r="F329" s="144"/>
      <c r="G329" s="132">
        <f>G330</f>
        <v>8862.7999999999993</v>
      </c>
      <c r="H329" s="132">
        <f>H330</f>
        <v>10094.200000000001</v>
      </c>
      <c r="I329" s="132">
        <f>I330</f>
        <v>10094.200000000001</v>
      </c>
      <c r="J329" s="132">
        <f>J330</f>
        <v>10094.200000000001</v>
      </c>
      <c r="K329" s="128">
        <f t="shared" si="88"/>
        <v>0</v>
      </c>
      <c r="L329" s="128">
        <f t="shared" si="89"/>
        <v>100</v>
      </c>
      <c r="M329" s="128">
        <f t="shared" si="93"/>
        <v>0</v>
      </c>
      <c r="N329" s="128">
        <f t="shared" si="90"/>
        <v>100</v>
      </c>
      <c r="O329" s="128">
        <f t="shared" si="99"/>
        <v>113.89402897504178</v>
      </c>
      <c r="P329" s="128">
        <f t="shared" si="91"/>
        <v>100</v>
      </c>
      <c r="Q329" s="128">
        <f t="shared" si="92"/>
        <v>1231.4000000000015</v>
      </c>
      <c r="R329" s="128">
        <f t="shared" si="100"/>
        <v>113.89402897504178</v>
      </c>
      <c r="S329" s="128">
        <f t="shared" si="96"/>
        <v>9.5288303331275834</v>
      </c>
    </row>
    <row r="330" spans="1:19" ht="24" customHeight="1">
      <c r="A330" s="147" t="s">
        <v>522</v>
      </c>
      <c r="B330" s="156">
        <v>8</v>
      </c>
      <c r="C330" s="157">
        <v>1</v>
      </c>
      <c r="D330" s="127" t="s">
        <v>564</v>
      </c>
      <c r="E330" s="144">
        <v>611</v>
      </c>
      <c r="F330" s="144">
        <v>241</v>
      </c>
      <c r="G330" s="132">
        <v>8862.7999999999993</v>
      </c>
      <c r="H330" s="132">
        <v>10094.200000000001</v>
      </c>
      <c r="I330" s="132">
        <v>10094.200000000001</v>
      </c>
      <c r="J330" s="132">
        <v>10094.200000000001</v>
      </c>
      <c r="K330" s="128">
        <f t="shared" si="88"/>
        <v>0</v>
      </c>
      <c r="L330" s="128">
        <f t="shared" si="89"/>
        <v>100</v>
      </c>
      <c r="M330" s="128">
        <f t="shared" si="93"/>
        <v>0</v>
      </c>
      <c r="N330" s="128">
        <f t="shared" si="90"/>
        <v>100</v>
      </c>
      <c r="O330" s="128">
        <f t="shared" si="99"/>
        <v>113.89402897504178</v>
      </c>
      <c r="P330" s="128">
        <f t="shared" si="91"/>
        <v>100</v>
      </c>
      <c r="Q330" s="128">
        <f t="shared" si="92"/>
        <v>1231.4000000000015</v>
      </c>
      <c r="R330" s="128">
        <f t="shared" si="100"/>
        <v>113.89402897504178</v>
      </c>
      <c r="S330" s="128">
        <f t="shared" si="96"/>
        <v>9.5288303331275834</v>
      </c>
    </row>
    <row r="331" spans="1:19" ht="31.5" customHeight="1">
      <c r="A331" s="147" t="s">
        <v>566</v>
      </c>
      <c r="B331" s="127" t="s">
        <v>370</v>
      </c>
      <c r="C331" s="157">
        <v>1</v>
      </c>
      <c r="D331" s="127" t="s">
        <v>567</v>
      </c>
      <c r="E331" s="215"/>
      <c r="F331" s="215"/>
      <c r="G331" s="239">
        <f t="shared" ref="G331:J332" si="101">SUM(G332)</f>
        <v>64.7</v>
      </c>
      <c r="H331" s="239">
        <f>SUM(H332)</f>
        <v>106.7</v>
      </c>
      <c r="I331" s="239">
        <f t="shared" si="101"/>
        <v>106.694</v>
      </c>
      <c r="J331" s="239">
        <f t="shared" si="101"/>
        <v>82.66</v>
      </c>
      <c r="K331" s="128">
        <f t="shared" si="88"/>
        <v>-6.0000000000002274E-3</v>
      </c>
      <c r="L331" s="128">
        <f t="shared" si="89"/>
        <v>99.994376757263353</v>
      </c>
      <c r="M331" s="128">
        <f t="shared" si="93"/>
        <v>-24.034000000000006</v>
      </c>
      <c r="N331" s="128">
        <f t="shared" si="90"/>
        <v>77.473897313813339</v>
      </c>
      <c r="O331" s="128">
        <f t="shared" si="99"/>
        <v>127.75888717156103</v>
      </c>
      <c r="P331" s="128">
        <f t="shared" si="91"/>
        <v>77.46954076850983</v>
      </c>
      <c r="Q331" s="128">
        <f t="shared" si="92"/>
        <v>42</v>
      </c>
      <c r="R331" s="128">
        <f t="shared" si="100"/>
        <v>164.91499227202473</v>
      </c>
      <c r="S331" s="128">
        <f t="shared" si="96"/>
        <v>7.8030266423919276E-2</v>
      </c>
    </row>
    <row r="332" spans="1:19" ht="47.25" customHeight="1">
      <c r="A332" s="126" t="s">
        <v>431</v>
      </c>
      <c r="B332" s="127" t="s">
        <v>370</v>
      </c>
      <c r="C332" s="157">
        <v>1</v>
      </c>
      <c r="D332" s="127" t="s">
        <v>567</v>
      </c>
      <c r="E332" s="144">
        <v>200</v>
      </c>
      <c r="F332" s="144"/>
      <c r="G332" s="128">
        <f t="shared" si="101"/>
        <v>64.7</v>
      </c>
      <c r="H332" s="128">
        <f>SUM(H333)</f>
        <v>106.7</v>
      </c>
      <c r="I332" s="128">
        <f t="shared" si="101"/>
        <v>106.694</v>
      </c>
      <c r="J332" s="128">
        <f t="shared" si="101"/>
        <v>82.66</v>
      </c>
      <c r="K332" s="128">
        <f t="shared" si="88"/>
        <v>-6.0000000000002274E-3</v>
      </c>
      <c r="L332" s="128">
        <f t="shared" si="89"/>
        <v>99.994376757263353</v>
      </c>
      <c r="M332" s="128">
        <f t="shared" si="93"/>
        <v>-24.034000000000006</v>
      </c>
      <c r="N332" s="128">
        <f t="shared" si="90"/>
        <v>77.473897313813339</v>
      </c>
      <c r="O332" s="128">
        <f t="shared" si="99"/>
        <v>127.75888717156103</v>
      </c>
      <c r="P332" s="128">
        <f t="shared" si="91"/>
        <v>77.46954076850983</v>
      </c>
      <c r="Q332" s="128">
        <f t="shared" si="92"/>
        <v>42</v>
      </c>
      <c r="R332" s="128">
        <f t="shared" si="100"/>
        <v>164.91499227202473</v>
      </c>
      <c r="S332" s="128">
        <f t="shared" si="96"/>
        <v>7.8030266423919276E-2</v>
      </c>
    </row>
    <row r="333" spans="1:19" ht="41.25" customHeight="1">
      <c r="A333" s="126" t="s">
        <v>433</v>
      </c>
      <c r="B333" s="127" t="s">
        <v>370</v>
      </c>
      <c r="C333" s="157">
        <v>1</v>
      </c>
      <c r="D333" s="127" t="s">
        <v>567</v>
      </c>
      <c r="E333" s="144">
        <v>244</v>
      </c>
      <c r="F333" s="144">
        <v>349</v>
      </c>
      <c r="G333" s="128">
        <v>64.7</v>
      </c>
      <c r="H333" s="128">
        <v>106.7</v>
      </c>
      <c r="I333" s="128">
        <v>106.694</v>
      </c>
      <c r="J333" s="128">
        <v>82.66</v>
      </c>
      <c r="K333" s="128">
        <f t="shared" si="88"/>
        <v>-6.0000000000002274E-3</v>
      </c>
      <c r="L333" s="128">
        <f t="shared" si="89"/>
        <v>99.994376757263353</v>
      </c>
      <c r="M333" s="128">
        <f>J333-I333</f>
        <v>-24.034000000000006</v>
      </c>
      <c r="N333" s="128">
        <f t="shared" si="90"/>
        <v>77.473897313813339</v>
      </c>
      <c r="O333" s="128">
        <f t="shared" si="99"/>
        <v>127.75888717156103</v>
      </c>
      <c r="P333" s="128">
        <f t="shared" si="91"/>
        <v>77.46954076850983</v>
      </c>
      <c r="Q333" s="128">
        <f t="shared" si="92"/>
        <v>42</v>
      </c>
      <c r="R333" s="128">
        <f t="shared" si="100"/>
        <v>164.91499227202473</v>
      </c>
      <c r="S333" s="128">
        <f t="shared" si="96"/>
        <v>7.8030266423919276E-2</v>
      </c>
    </row>
    <row r="334" spans="1:19" ht="45.75" customHeight="1">
      <c r="A334" s="205" t="s">
        <v>568</v>
      </c>
      <c r="B334" s="127" t="s">
        <v>370</v>
      </c>
      <c r="C334" s="157">
        <v>1</v>
      </c>
      <c r="D334" s="127" t="s">
        <v>569</v>
      </c>
      <c r="E334" s="144"/>
      <c r="F334" s="144"/>
      <c r="G334" s="132">
        <f t="shared" ref="G334:J335" si="102">G335</f>
        <v>0</v>
      </c>
      <c r="H334" s="132">
        <f>H335</f>
        <v>80</v>
      </c>
      <c r="I334" s="132">
        <f t="shared" si="102"/>
        <v>80</v>
      </c>
      <c r="J334" s="132">
        <f t="shared" si="102"/>
        <v>80</v>
      </c>
      <c r="K334" s="128">
        <f t="shared" si="88"/>
        <v>0</v>
      </c>
      <c r="L334" s="128">
        <f t="shared" si="89"/>
        <v>100</v>
      </c>
      <c r="M334" s="128">
        <f t="shared" si="93"/>
        <v>0</v>
      </c>
      <c r="N334" s="128">
        <f t="shared" si="90"/>
        <v>100</v>
      </c>
      <c r="O334" s="128"/>
      <c r="P334" s="128">
        <f t="shared" si="91"/>
        <v>100</v>
      </c>
      <c r="Q334" s="128">
        <f t="shared" si="92"/>
        <v>80</v>
      </c>
      <c r="R334" s="128"/>
      <c r="S334" s="128">
        <f t="shared" si="96"/>
        <v>7.5519251317608796E-2</v>
      </c>
    </row>
    <row r="335" spans="1:19" ht="45.75" customHeight="1">
      <c r="A335" s="139" t="s">
        <v>565</v>
      </c>
      <c r="B335" s="127" t="s">
        <v>370</v>
      </c>
      <c r="C335" s="157">
        <v>1</v>
      </c>
      <c r="D335" s="127" t="s">
        <v>569</v>
      </c>
      <c r="E335" s="144">
        <v>600</v>
      </c>
      <c r="F335" s="144"/>
      <c r="G335" s="132">
        <f t="shared" si="102"/>
        <v>0</v>
      </c>
      <c r="H335" s="132">
        <f>H336</f>
        <v>80</v>
      </c>
      <c r="I335" s="132">
        <f t="shared" si="102"/>
        <v>80</v>
      </c>
      <c r="J335" s="132">
        <f t="shared" si="102"/>
        <v>80</v>
      </c>
      <c r="K335" s="128">
        <f t="shared" si="88"/>
        <v>0</v>
      </c>
      <c r="L335" s="128">
        <f t="shared" si="89"/>
        <v>100</v>
      </c>
      <c r="M335" s="128">
        <f t="shared" si="93"/>
        <v>0</v>
      </c>
      <c r="N335" s="128">
        <f t="shared" si="90"/>
        <v>100</v>
      </c>
      <c r="O335" s="128"/>
      <c r="P335" s="128">
        <f t="shared" si="91"/>
        <v>100</v>
      </c>
      <c r="Q335" s="128">
        <f t="shared" si="92"/>
        <v>80</v>
      </c>
      <c r="R335" s="128"/>
      <c r="S335" s="128">
        <f t="shared" si="96"/>
        <v>7.5519251317608796E-2</v>
      </c>
    </row>
    <row r="336" spans="1:19" ht="27.75" customHeight="1">
      <c r="A336" s="147" t="s">
        <v>522</v>
      </c>
      <c r="B336" s="127" t="s">
        <v>370</v>
      </c>
      <c r="C336" s="157">
        <v>1</v>
      </c>
      <c r="D336" s="127" t="s">
        <v>569</v>
      </c>
      <c r="E336" s="144">
        <v>612</v>
      </c>
      <c r="F336" s="144">
        <v>241</v>
      </c>
      <c r="G336" s="132"/>
      <c r="H336" s="132">
        <v>80</v>
      </c>
      <c r="I336" s="132">
        <v>80</v>
      </c>
      <c r="J336" s="132">
        <v>80</v>
      </c>
      <c r="K336" s="128">
        <f t="shared" si="88"/>
        <v>0</v>
      </c>
      <c r="L336" s="128">
        <f t="shared" si="89"/>
        <v>100</v>
      </c>
      <c r="M336" s="128">
        <f t="shared" si="93"/>
        <v>0</v>
      </c>
      <c r="N336" s="128">
        <f t="shared" si="90"/>
        <v>100</v>
      </c>
      <c r="O336" s="128"/>
      <c r="P336" s="128">
        <f t="shared" si="91"/>
        <v>100</v>
      </c>
      <c r="Q336" s="128">
        <f t="shared" si="92"/>
        <v>80</v>
      </c>
      <c r="R336" s="128"/>
      <c r="S336" s="128">
        <f t="shared" si="96"/>
        <v>7.5519251317608796E-2</v>
      </c>
    </row>
    <row r="337" spans="1:19" s="122" customFormat="1" ht="34.5" customHeight="1">
      <c r="A337" s="123" t="s">
        <v>570</v>
      </c>
      <c r="B337" s="124" t="s">
        <v>370</v>
      </c>
      <c r="C337" s="124" t="s">
        <v>341</v>
      </c>
      <c r="D337" s="124"/>
      <c r="E337" s="165"/>
      <c r="F337" s="165"/>
      <c r="G337" s="125">
        <f>G338</f>
        <v>374</v>
      </c>
      <c r="H337" s="125">
        <f>H338</f>
        <v>424</v>
      </c>
      <c r="I337" s="125">
        <f>I338</f>
        <v>424</v>
      </c>
      <c r="J337" s="125">
        <f>J338</f>
        <v>424</v>
      </c>
      <c r="K337" s="125">
        <f t="shared" si="88"/>
        <v>0</v>
      </c>
      <c r="L337" s="125">
        <f t="shared" si="89"/>
        <v>100</v>
      </c>
      <c r="M337" s="125">
        <f t="shared" si="93"/>
        <v>0</v>
      </c>
      <c r="N337" s="125">
        <f t="shared" si="90"/>
        <v>100</v>
      </c>
      <c r="O337" s="125">
        <f>J337/G337*100</f>
        <v>113.36898395721926</v>
      </c>
      <c r="P337" s="125">
        <f t="shared" si="91"/>
        <v>100</v>
      </c>
      <c r="Q337" s="125">
        <f t="shared" si="92"/>
        <v>50</v>
      </c>
      <c r="R337" s="125">
        <f>H337/G337*100</f>
        <v>113.36898395721926</v>
      </c>
      <c r="S337" s="125">
        <f t="shared" si="96"/>
        <v>0.40025203198332654</v>
      </c>
    </row>
    <row r="338" spans="1:19" ht="47.25" customHeight="1">
      <c r="A338" s="126" t="s">
        <v>489</v>
      </c>
      <c r="B338" s="127" t="s">
        <v>370</v>
      </c>
      <c r="C338" s="127" t="s">
        <v>341</v>
      </c>
      <c r="D338" s="127" t="s">
        <v>562</v>
      </c>
      <c r="E338" s="144"/>
      <c r="F338" s="233"/>
      <c r="G338" s="235">
        <f>G342+G339</f>
        <v>374</v>
      </c>
      <c r="H338" s="235">
        <f>H342+H339</f>
        <v>424</v>
      </c>
      <c r="I338" s="235">
        <f>I342+I339</f>
        <v>424</v>
      </c>
      <c r="J338" s="235">
        <f>J342+J339</f>
        <v>424</v>
      </c>
      <c r="K338" s="128">
        <f t="shared" si="88"/>
        <v>0</v>
      </c>
      <c r="L338" s="128">
        <f t="shared" si="89"/>
        <v>100</v>
      </c>
      <c r="M338" s="128">
        <f t="shared" si="93"/>
        <v>0</v>
      </c>
      <c r="N338" s="128">
        <f t="shared" si="90"/>
        <v>100</v>
      </c>
      <c r="O338" s="128">
        <f>J338/G338*100</f>
        <v>113.36898395721926</v>
      </c>
      <c r="P338" s="128">
        <f t="shared" si="91"/>
        <v>100</v>
      </c>
      <c r="Q338" s="128">
        <f t="shared" si="92"/>
        <v>50</v>
      </c>
      <c r="R338" s="128">
        <f>H338/G338*100</f>
        <v>113.36898395721926</v>
      </c>
      <c r="S338" s="128">
        <f t="shared" si="96"/>
        <v>0.40025203198332654</v>
      </c>
    </row>
    <row r="339" spans="1:19" ht="32.25" customHeight="1">
      <c r="A339" s="214" t="s">
        <v>571</v>
      </c>
      <c r="B339" s="127" t="s">
        <v>370</v>
      </c>
      <c r="C339" s="127" t="s">
        <v>341</v>
      </c>
      <c r="D339" s="127" t="s">
        <v>572</v>
      </c>
      <c r="E339" s="144"/>
      <c r="F339" s="233"/>
      <c r="G339" s="235">
        <f>G340</f>
        <v>0</v>
      </c>
      <c r="H339" s="235">
        <f>H340</f>
        <v>50</v>
      </c>
      <c r="I339" s="235">
        <f>I340</f>
        <v>50</v>
      </c>
      <c r="J339" s="235">
        <f>J340</f>
        <v>50</v>
      </c>
      <c r="K339" s="128">
        <f t="shared" ref="K339:K386" si="103">I339-H339</f>
        <v>0</v>
      </c>
      <c r="L339" s="128">
        <f t="shared" ref="L339:L386" si="104">I339/H339*100</f>
        <v>100</v>
      </c>
      <c r="M339" s="128">
        <f t="shared" si="93"/>
        <v>0</v>
      </c>
      <c r="N339" s="128">
        <f t="shared" ref="N339:N386" si="105">J339/I339*100</f>
        <v>100</v>
      </c>
      <c r="O339" s="128"/>
      <c r="P339" s="128">
        <f t="shared" ref="P339:P386" si="106">J339/H339*100</f>
        <v>100</v>
      </c>
      <c r="Q339" s="128">
        <f t="shared" ref="Q339:Q386" si="107">H339-G339</f>
        <v>50</v>
      </c>
      <c r="R339" s="128"/>
      <c r="S339" s="128">
        <f t="shared" si="96"/>
        <v>4.7199532073505489E-2</v>
      </c>
    </row>
    <row r="340" spans="1:19" ht="48" customHeight="1">
      <c r="A340" s="139" t="s">
        <v>565</v>
      </c>
      <c r="B340" s="127" t="s">
        <v>370</v>
      </c>
      <c r="C340" s="127" t="s">
        <v>341</v>
      </c>
      <c r="D340" s="127" t="s">
        <v>572</v>
      </c>
      <c r="E340" s="144">
        <v>600</v>
      </c>
      <c r="F340" s="233"/>
      <c r="G340" s="235">
        <f>SUM(G341)</f>
        <v>0</v>
      </c>
      <c r="H340" s="235">
        <f>SUM(H341)</f>
        <v>50</v>
      </c>
      <c r="I340" s="235">
        <f>SUM(I341)</f>
        <v>50</v>
      </c>
      <c r="J340" s="235">
        <f>SUM(J341)</f>
        <v>50</v>
      </c>
      <c r="K340" s="128">
        <f t="shared" si="103"/>
        <v>0</v>
      </c>
      <c r="L340" s="128">
        <f t="shared" si="104"/>
        <v>100</v>
      </c>
      <c r="M340" s="128">
        <f t="shared" si="93"/>
        <v>0</v>
      </c>
      <c r="N340" s="128">
        <f t="shared" si="105"/>
        <v>100</v>
      </c>
      <c r="O340" s="128"/>
      <c r="P340" s="128">
        <f t="shared" si="106"/>
        <v>100</v>
      </c>
      <c r="Q340" s="128">
        <f t="shared" si="107"/>
        <v>50</v>
      </c>
      <c r="R340" s="128"/>
      <c r="S340" s="128">
        <f t="shared" si="96"/>
        <v>4.7199532073505489E-2</v>
      </c>
    </row>
    <row r="341" spans="1:19" ht="27" customHeight="1">
      <c r="A341" s="147" t="s">
        <v>522</v>
      </c>
      <c r="B341" s="127" t="s">
        <v>370</v>
      </c>
      <c r="C341" s="127" t="s">
        <v>341</v>
      </c>
      <c r="D341" s="127" t="s">
        <v>572</v>
      </c>
      <c r="E341" s="144">
        <v>612</v>
      </c>
      <c r="F341" s="233">
        <v>241</v>
      </c>
      <c r="G341" s="235"/>
      <c r="H341" s="235">
        <v>50</v>
      </c>
      <c r="I341" s="235">
        <v>50</v>
      </c>
      <c r="J341" s="235">
        <v>50</v>
      </c>
      <c r="K341" s="128">
        <f t="shared" si="103"/>
        <v>0</v>
      </c>
      <c r="L341" s="128">
        <f t="shared" si="104"/>
        <v>100</v>
      </c>
      <c r="M341" s="128">
        <f t="shared" si="93"/>
        <v>0</v>
      </c>
      <c r="N341" s="128">
        <f t="shared" si="105"/>
        <v>100</v>
      </c>
      <c r="O341" s="128"/>
      <c r="P341" s="128">
        <f t="shared" si="106"/>
        <v>100</v>
      </c>
      <c r="Q341" s="128">
        <f t="shared" si="107"/>
        <v>50</v>
      </c>
      <c r="R341" s="128"/>
      <c r="S341" s="128">
        <f t="shared" si="96"/>
        <v>4.7199532073505489E-2</v>
      </c>
    </row>
    <row r="342" spans="1:19" ht="73.5" customHeight="1">
      <c r="A342" s="214" t="s">
        <v>573</v>
      </c>
      <c r="B342" s="127" t="s">
        <v>370</v>
      </c>
      <c r="C342" s="127" t="s">
        <v>341</v>
      </c>
      <c r="D342" s="127" t="s">
        <v>574</v>
      </c>
      <c r="E342" s="144"/>
      <c r="F342" s="144"/>
      <c r="G342" s="128">
        <f t="shared" ref="G342:J343" si="108">SUM(G343)</f>
        <v>374</v>
      </c>
      <c r="H342" s="128">
        <f>SUM(H343)</f>
        <v>374</v>
      </c>
      <c r="I342" s="128">
        <f t="shared" si="108"/>
        <v>374</v>
      </c>
      <c r="J342" s="128">
        <f t="shared" si="108"/>
        <v>374</v>
      </c>
      <c r="K342" s="128">
        <f t="shared" si="103"/>
        <v>0</v>
      </c>
      <c r="L342" s="128">
        <f t="shared" si="104"/>
        <v>100</v>
      </c>
      <c r="M342" s="128">
        <f t="shared" ref="M342:M386" si="109">J342-I342</f>
        <v>0</v>
      </c>
      <c r="N342" s="128">
        <f t="shared" si="105"/>
        <v>100</v>
      </c>
      <c r="O342" s="128">
        <f>J342/G342*100</f>
        <v>100</v>
      </c>
      <c r="P342" s="128">
        <f t="shared" si="106"/>
        <v>100</v>
      </c>
      <c r="Q342" s="128">
        <f t="shared" si="107"/>
        <v>0</v>
      </c>
      <c r="R342" s="128">
        <f>H342/G342*100</f>
        <v>100</v>
      </c>
      <c r="S342" s="128">
        <f t="shared" si="96"/>
        <v>0.35305249990982113</v>
      </c>
    </row>
    <row r="343" spans="1:19" ht="45.75" customHeight="1">
      <c r="A343" s="139" t="s">
        <v>565</v>
      </c>
      <c r="B343" s="127" t="s">
        <v>370</v>
      </c>
      <c r="C343" s="127" t="s">
        <v>341</v>
      </c>
      <c r="D343" s="127" t="s">
        <v>574</v>
      </c>
      <c r="E343" s="144">
        <v>600</v>
      </c>
      <c r="F343" s="144"/>
      <c r="G343" s="128">
        <f t="shared" si="108"/>
        <v>374</v>
      </c>
      <c r="H343" s="128">
        <f>SUM(H344)</f>
        <v>374</v>
      </c>
      <c r="I343" s="128">
        <f t="shared" si="108"/>
        <v>374</v>
      </c>
      <c r="J343" s="128">
        <f t="shared" si="108"/>
        <v>374</v>
      </c>
      <c r="K343" s="128">
        <f t="shared" si="103"/>
        <v>0</v>
      </c>
      <c r="L343" s="128">
        <f t="shared" si="104"/>
        <v>100</v>
      </c>
      <c r="M343" s="128">
        <f t="shared" si="109"/>
        <v>0</v>
      </c>
      <c r="N343" s="128">
        <f t="shared" si="105"/>
        <v>100</v>
      </c>
      <c r="O343" s="128">
        <f>J343/G343*100</f>
        <v>100</v>
      </c>
      <c r="P343" s="128">
        <f t="shared" si="106"/>
        <v>100</v>
      </c>
      <c r="Q343" s="128">
        <f t="shared" si="107"/>
        <v>0</v>
      </c>
      <c r="R343" s="128">
        <f>H343/G343*100</f>
        <v>100</v>
      </c>
      <c r="S343" s="128">
        <f t="shared" si="96"/>
        <v>0.35305249990982113</v>
      </c>
    </row>
    <row r="344" spans="1:19" ht="69.75" customHeight="1">
      <c r="A344" s="240" t="s">
        <v>575</v>
      </c>
      <c r="B344" s="127" t="s">
        <v>370</v>
      </c>
      <c r="C344" s="127" t="s">
        <v>341</v>
      </c>
      <c r="D344" s="127" t="s">
        <v>574</v>
      </c>
      <c r="E344" s="144">
        <v>633</v>
      </c>
      <c r="F344" s="144">
        <v>246</v>
      </c>
      <c r="G344" s="128">
        <v>374</v>
      </c>
      <c r="H344" s="128">
        <v>374</v>
      </c>
      <c r="I344" s="128">
        <v>374</v>
      </c>
      <c r="J344" s="128">
        <v>374</v>
      </c>
      <c r="K344" s="128">
        <f t="shared" si="103"/>
        <v>0</v>
      </c>
      <c r="L344" s="128">
        <f t="shared" si="104"/>
        <v>100</v>
      </c>
      <c r="M344" s="128">
        <f t="shared" si="109"/>
        <v>0</v>
      </c>
      <c r="N344" s="128">
        <f t="shared" si="105"/>
        <v>100</v>
      </c>
      <c r="O344" s="128">
        <f>J344/G344*100</f>
        <v>100</v>
      </c>
      <c r="P344" s="128">
        <f t="shared" si="106"/>
        <v>100</v>
      </c>
      <c r="Q344" s="128">
        <f t="shared" si="107"/>
        <v>0</v>
      </c>
      <c r="R344" s="128">
        <f>H344/G344*100</f>
        <v>100</v>
      </c>
      <c r="S344" s="128">
        <f t="shared" si="96"/>
        <v>0.35305249990982113</v>
      </c>
    </row>
    <row r="345" spans="1:19" s="122" customFormat="1" ht="21.75" customHeight="1">
      <c r="A345" s="119" t="s">
        <v>576</v>
      </c>
      <c r="B345" s="241">
        <v>9</v>
      </c>
      <c r="C345" s="242"/>
      <c r="D345" s="120"/>
      <c r="E345" s="163"/>
      <c r="F345" s="163"/>
      <c r="G345" s="121">
        <f t="shared" ref="G345:J348" si="110">SUM(G346)</f>
        <v>0</v>
      </c>
      <c r="H345" s="121">
        <f t="shared" si="110"/>
        <v>840</v>
      </c>
      <c r="I345" s="121">
        <f t="shared" si="110"/>
        <v>840</v>
      </c>
      <c r="J345" s="121">
        <f t="shared" si="110"/>
        <v>839.99447999999995</v>
      </c>
      <c r="K345" s="121">
        <f t="shared" si="103"/>
        <v>0</v>
      </c>
      <c r="L345" s="121">
        <f t="shared" si="104"/>
        <v>100</v>
      </c>
      <c r="M345" s="121">
        <f t="shared" si="109"/>
        <v>-5.5200000000468208E-3</v>
      </c>
      <c r="N345" s="121">
        <f t="shared" si="105"/>
        <v>99.99934285714285</v>
      </c>
      <c r="O345" s="121"/>
      <c r="P345" s="121">
        <f t="shared" si="106"/>
        <v>99.99934285714285</v>
      </c>
      <c r="Q345" s="121">
        <f t="shared" si="107"/>
        <v>840</v>
      </c>
      <c r="R345" s="121"/>
      <c r="S345" s="121">
        <f t="shared" si="96"/>
        <v>0.79294692800655142</v>
      </c>
    </row>
    <row r="346" spans="1:19" s="122" customFormat="1" ht="25.5" customHeight="1">
      <c r="A346" s="138" t="s">
        <v>577</v>
      </c>
      <c r="B346" s="243">
        <v>9</v>
      </c>
      <c r="C346" s="238">
        <v>7</v>
      </c>
      <c r="D346" s="124"/>
      <c r="E346" s="165"/>
      <c r="F346" s="165"/>
      <c r="G346" s="125">
        <f t="shared" si="110"/>
        <v>0</v>
      </c>
      <c r="H346" s="125">
        <f t="shared" si="110"/>
        <v>840</v>
      </c>
      <c r="I346" s="125">
        <f t="shared" si="110"/>
        <v>840</v>
      </c>
      <c r="J346" s="125">
        <f t="shared" si="110"/>
        <v>839.99447999999995</v>
      </c>
      <c r="K346" s="125">
        <f t="shared" si="103"/>
        <v>0</v>
      </c>
      <c r="L346" s="125">
        <f t="shared" si="104"/>
        <v>100</v>
      </c>
      <c r="M346" s="125">
        <f t="shared" si="109"/>
        <v>-5.5200000000468208E-3</v>
      </c>
      <c r="N346" s="125">
        <f t="shared" si="105"/>
        <v>99.99934285714285</v>
      </c>
      <c r="O346" s="125"/>
      <c r="P346" s="125">
        <f t="shared" si="106"/>
        <v>99.99934285714285</v>
      </c>
      <c r="Q346" s="125">
        <f t="shared" si="107"/>
        <v>840</v>
      </c>
      <c r="R346" s="125"/>
      <c r="S346" s="125">
        <f t="shared" si="96"/>
        <v>0.79294692800655142</v>
      </c>
    </row>
    <row r="347" spans="1:19" ht="41.25" customHeight="1">
      <c r="A347" s="126" t="s">
        <v>532</v>
      </c>
      <c r="B347" s="156">
        <v>9</v>
      </c>
      <c r="C347" s="244">
        <v>7</v>
      </c>
      <c r="D347" s="127" t="s">
        <v>533</v>
      </c>
      <c r="E347" s="144"/>
      <c r="F347" s="144"/>
      <c r="G347" s="128">
        <f t="shared" si="110"/>
        <v>0</v>
      </c>
      <c r="H347" s="128">
        <f t="shared" si="110"/>
        <v>840</v>
      </c>
      <c r="I347" s="128">
        <f t="shared" si="110"/>
        <v>840</v>
      </c>
      <c r="J347" s="128">
        <f t="shared" si="110"/>
        <v>839.99447999999995</v>
      </c>
      <c r="K347" s="128">
        <f t="shared" si="103"/>
        <v>0</v>
      </c>
      <c r="L347" s="128">
        <f t="shared" si="104"/>
        <v>100</v>
      </c>
      <c r="M347" s="128">
        <f t="shared" si="109"/>
        <v>-5.5200000000468208E-3</v>
      </c>
      <c r="N347" s="128">
        <f t="shared" si="105"/>
        <v>99.99934285714285</v>
      </c>
      <c r="O347" s="128"/>
      <c r="P347" s="128">
        <f t="shared" si="106"/>
        <v>99.99934285714285</v>
      </c>
      <c r="Q347" s="128">
        <f t="shared" si="107"/>
        <v>840</v>
      </c>
      <c r="R347" s="128"/>
      <c r="S347" s="128">
        <f t="shared" si="96"/>
        <v>0.79294692800655142</v>
      </c>
    </row>
    <row r="348" spans="1:19" ht="69.75" customHeight="1">
      <c r="A348" s="130" t="s">
        <v>534</v>
      </c>
      <c r="B348" s="156">
        <v>9</v>
      </c>
      <c r="C348" s="244">
        <v>7</v>
      </c>
      <c r="D348" s="207" t="s">
        <v>535</v>
      </c>
      <c r="E348" s="144"/>
      <c r="F348" s="144"/>
      <c r="G348" s="128">
        <f t="shared" si="110"/>
        <v>0</v>
      </c>
      <c r="H348" s="128">
        <f t="shared" si="110"/>
        <v>840</v>
      </c>
      <c r="I348" s="128">
        <f t="shared" si="110"/>
        <v>840</v>
      </c>
      <c r="J348" s="128">
        <f t="shared" si="110"/>
        <v>839.99447999999995</v>
      </c>
      <c r="K348" s="128">
        <f t="shared" si="103"/>
        <v>0</v>
      </c>
      <c r="L348" s="128">
        <f t="shared" si="104"/>
        <v>100</v>
      </c>
      <c r="M348" s="128">
        <f t="shared" si="109"/>
        <v>-5.5200000000468208E-3</v>
      </c>
      <c r="N348" s="128">
        <f t="shared" si="105"/>
        <v>99.99934285714285</v>
      </c>
      <c r="O348" s="128"/>
      <c r="P348" s="128">
        <f t="shared" si="106"/>
        <v>99.99934285714285</v>
      </c>
      <c r="Q348" s="128">
        <f t="shared" si="107"/>
        <v>840</v>
      </c>
      <c r="R348" s="128"/>
      <c r="S348" s="128">
        <f t="shared" si="96"/>
        <v>0.79294692800655142</v>
      </c>
    </row>
    <row r="349" spans="1:19" ht="35.25" customHeight="1">
      <c r="A349" s="214" t="s">
        <v>578</v>
      </c>
      <c r="B349" s="156">
        <v>9</v>
      </c>
      <c r="C349" s="244">
        <v>7</v>
      </c>
      <c r="D349" s="245" t="s">
        <v>550</v>
      </c>
      <c r="E349" s="144"/>
      <c r="F349" s="144"/>
      <c r="G349" s="128">
        <f>G350</f>
        <v>0</v>
      </c>
      <c r="H349" s="128">
        <f>H350</f>
        <v>840</v>
      </c>
      <c r="I349" s="128">
        <f>I350</f>
        <v>840</v>
      </c>
      <c r="J349" s="128">
        <f>J350</f>
        <v>839.99447999999995</v>
      </c>
      <c r="K349" s="128">
        <f t="shared" si="103"/>
        <v>0</v>
      </c>
      <c r="L349" s="128">
        <f t="shared" si="104"/>
        <v>100</v>
      </c>
      <c r="M349" s="128">
        <f t="shared" si="109"/>
        <v>-5.5200000000468208E-3</v>
      </c>
      <c r="N349" s="128">
        <f t="shared" si="105"/>
        <v>99.99934285714285</v>
      </c>
      <c r="O349" s="128"/>
      <c r="P349" s="128">
        <f t="shared" si="106"/>
        <v>99.99934285714285</v>
      </c>
      <c r="Q349" s="128">
        <f t="shared" si="107"/>
        <v>840</v>
      </c>
      <c r="R349" s="128"/>
      <c r="S349" s="128">
        <f t="shared" si="96"/>
        <v>0.79294692800655142</v>
      </c>
    </row>
    <row r="350" spans="1:19" ht="40.5" customHeight="1">
      <c r="A350" s="126" t="s">
        <v>431</v>
      </c>
      <c r="B350" s="156">
        <v>9</v>
      </c>
      <c r="C350" s="244">
        <v>7</v>
      </c>
      <c r="D350" s="245" t="s">
        <v>550</v>
      </c>
      <c r="E350" s="143">
        <v>200</v>
      </c>
      <c r="F350" s="143"/>
      <c r="G350" s="132">
        <f>SUM(G351)</f>
        <v>0</v>
      </c>
      <c r="H350" s="132">
        <f>SUM(H351)</f>
        <v>840</v>
      </c>
      <c r="I350" s="132">
        <f>SUM(I351)</f>
        <v>840</v>
      </c>
      <c r="J350" s="132">
        <f>SUM(J351)</f>
        <v>839.99447999999995</v>
      </c>
      <c r="K350" s="128">
        <f t="shared" si="103"/>
        <v>0</v>
      </c>
      <c r="L350" s="128">
        <f t="shared" si="104"/>
        <v>100</v>
      </c>
      <c r="M350" s="128">
        <f t="shared" si="109"/>
        <v>-5.5200000000468208E-3</v>
      </c>
      <c r="N350" s="128">
        <f t="shared" si="105"/>
        <v>99.99934285714285</v>
      </c>
      <c r="O350" s="128"/>
      <c r="P350" s="128">
        <f t="shared" si="106"/>
        <v>99.99934285714285</v>
      </c>
      <c r="Q350" s="128">
        <f t="shared" si="107"/>
        <v>840</v>
      </c>
      <c r="R350" s="128"/>
      <c r="S350" s="128">
        <f t="shared" si="96"/>
        <v>0.79294692800655142</v>
      </c>
    </row>
    <row r="351" spans="1:19" ht="47.25" customHeight="1">
      <c r="A351" s="139" t="s">
        <v>433</v>
      </c>
      <c r="B351" s="156">
        <v>9</v>
      </c>
      <c r="C351" s="244">
        <v>7</v>
      </c>
      <c r="D351" s="245" t="s">
        <v>550</v>
      </c>
      <c r="E351" s="143">
        <v>244</v>
      </c>
      <c r="F351" s="143">
        <v>225</v>
      </c>
      <c r="G351" s="132"/>
      <c r="H351" s="132">
        <v>840</v>
      </c>
      <c r="I351" s="132">
        <v>840</v>
      </c>
      <c r="J351" s="132">
        <v>839.99447999999995</v>
      </c>
      <c r="K351" s="128">
        <f t="shared" si="103"/>
        <v>0</v>
      </c>
      <c r="L351" s="128">
        <f t="shared" si="104"/>
        <v>100</v>
      </c>
      <c r="M351" s="128">
        <f t="shared" si="109"/>
        <v>-5.5200000000468208E-3</v>
      </c>
      <c r="N351" s="128">
        <f t="shared" si="105"/>
        <v>99.99934285714285</v>
      </c>
      <c r="O351" s="128"/>
      <c r="P351" s="128">
        <f t="shared" si="106"/>
        <v>99.99934285714285</v>
      </c>
      <c r="Q351" s="128">
        <f t="shared" si="107"/>
        <v>840</v>
      </c>
      <c r="R351" s="128"/>
      <c r="S351" s="128">
        <f t="shared" si="96"/>
        <v>0.79294692800655142</v>
      </c>
    </row>
    <row r="352" spans="1:19" s="122" customFormat="1" ht="22.5" customHeight="1">
      <c r="A352" s="246" t="s">
        <v>396</v>
      </c>
      <c r="B352" s="247" t="s">
        <v>334</v>
      </c>
      <c r="C352" s="247"/>
      <c r="D352" s="247"/>
      <c r="E352" s="248"/>
      <c r="F352" s="248"/>
      <c r="G352" s="121">
        <f t="shared" ref="G352:J356" si="111">SUM(G353)</f>
        <v>240</v>
      </c>
      <c r="H352" s="121">
        <f>SUM(H353)</f>
        <v>859.2</v>
      </c>
      <c r="I352" s="121">
        <f t="shared" si="111"/>
        <v>859.24800000000005</v>
      </c>
      <c r="J352" s="121">
        <f t="shared" si="111"/>
        <v>859.24800000000005</v>
      </c>
      <c r="K352" s="121">
        <f t="shared" si="103"/>
        <v>4.8000000000001819E-2</v>
      </c>
      <c r="L352" s="121">
        <f t="shared" si="104"/>
        <v>100.00558659217877</v>
      </c>
      <c r="M352" s="121">
        <f t="shared" si="109"/>
        <v>0</v>
      </c>
      <c r="N352" s="121">
        <f t="shared" si="105"/>
        <v>100</v>
      </c>
      <c r="O352" s="121">
        <f t="shared" ref="O352:O360" si="112">J352/G352*100</f>
        <v>358.02</v>
      </c>
      <c r="P352" s="121">
        <f t="shared" si="106"/>
        <v>100.00558659217877</v>
      </c>
      <c r="Q352" s="121">
        <f t="shared" si="107"/>
        <v>619.20000000000005</v>
      </c>
      <c r="R352" s="121">
        <f t="shared" ref="R352:R360" si="113">H352/G352*100</f>
        <v>358</v>
      </c>
      <c r="S352" s="121">
        <f t="shared" si="96"/>
        <v>0.811122070701909</v>
      </c>
    </row>
    <row r="353" spans="1:19" s="122" customFormat="1" ht="26.25" customHeight="1">
      <c r="A353" s="249" t="s">
        <v>397</v>
      </c>
      <c r="B353" s="250" t="s">
        <v>334</v>
      </c>
      <c r="C353" s="250" t="s">
        <v>332</v>
      </c>
      <c r="D353" s="250"/>
      <c r="E353" s="251"/>
      <c r="F353" s="251"/>
      <c r="G353" s="125">
        <f t="shared" si="111"/>
        <v>240</v>
      </c>
      <c r="H353" s="125">
        <f>SUM(H354)</f>
        <v>859.2</v>
      </c>
      <c r="I353" s="125">
        <f t="shared" si="111"/>
        <v>859.24800000000005</v>
      </c>
      <c r="J353" s="125">
        <f t="shared" si="111"/>
        <v>859.24800000000005</v>
      </c>
      <c r="K353" s="125">
        <f t="shared" si="103"/>
        <v>4.8000000000001819E-2</v>
      </c>
      <c r="L353" s="125">
        <f t="shared" si="104"/>
        <v>100.00558659217877</v>
      </c>
      <c r="M353" s="125">
        <f t="shared" si="109"/>
        <v>0</v>
      </c>
      <c r="N353" s="125">
        <f t="shared" si="105"/>
        <v>100</v>
      </c>
      <c r="O353" s="125">
        <f t="shared" si="112"/>
        <v>358.02</v>
      </c>
      <c r="P353" s="125">
        <f t="shared" si="106"/>
        <v>100.00558659217877</v>
      </c>
      <c r="Q353" s="125">
        <f t="shared" si="107"/>
        <v>619.20000000000005</v>
      </c>
      <c r="R353" s="125">
        <f t="shared" si="113"/>
        <v>358</v>
      </c>
      <c r="S353" s="125">
        <f t="shared" si="96"/>
        <v>0.811122070701909</v>
      </c>
    </row>
    <row r="354" spans="1:19" ht="34.5" customHeight="1">
      <c r="A354" s="190" t="s">
        <v>413</v>
      </c>
      <c r="B354" s="252" t="s">
        <v>334</v>
      </c>
      <c r="C354" s="252" t="s">
        <v>332</v>
      </c>
      <c r="D354" s="252" t="s">
        <v>414</v>
      </c>
      <c r="E354" s="253"/>
      <c r="F354" s="253"/>
      <c r="G354" s="128">
        <f t="shared" si="111"/>
        <v>240</v>
      </c>
      <c r="H354" s="128">
        <f>SUM(H355)</f>
        <v>859.2</v>
      </c>
      <c r="I354" s="128">
        <f t="shared" si="111"/>
        <v>859.24800000000005</v>
      </c>
      <c r="J354" s="128">
        <f t="shared" si="111"/>
        <v>859.24800000000005</v>
      </c>
      <c r="K354" s="128">
        <f t="shared" si="103"/>
        <v>4.8000000000001819E-2</v>
      </c>
      <c r="L354" s="128">
        <f t="shared" si="104"/>
        <v>100.00558659217877</v>
      </c>
      <c r="M354" s="128">
        <f t="shared" si="109"/>
        <v>0</v>
      </c>
      <c r="N354" s="128">
        <f t="shared" si="105"/>
        <v>100</v>
      </c>
      <c r="O354" s="128">
        <f t="shared" si="112"/>
        <v>358.02</v>
      </c>
      <c r="P354" s="128">
        <f t="shared" si="106"/>
        <v>100.00558659217877</v>
      </c>
      <c r="Q354" s="128">
        <f t="shared" si="107"/>
        <v>619.20000000000005</v>
      </c>
      <c r="R354" s="128">
        <f t="shared" si="113"/>
        <v>358</v>
      </c>
      <c r="S354" s="128">
        <f t="shared" si="96"/>
        <v>0.811122070701909</v>
      </c>
    </row>
    <row r="355" spans="1:19" ht="60.75" customHeight="1">
      <c r="A355" s="126" t="s">
        <v>415</v>
      </c>
      <c r="B355" s="252" t="s">
        <v>334</v>
      </c>
      <c r="C355" s="252" t="s">
        <v>332</v>
      </c>
      <c r="D355" s="252" t="s">
        <v>416</v>
      </c>
      <c r="E355" s="253"/>
      <c r="F355" s="253"/>
      <c r="G355" s="128">
        <f t="shared" si="111"/>
        <v>240</v>
      </c>
      <c r="H355" s="128">
        <f>SUM(H356)</f>
        <v>859.2</v>
      </c>
      <c r="I355" s="128">
        <f t="shared" si="111"/>
        <v>859.24800000000005</v>
      </c>
      <c r="J355" s="128">
        <f t="shared" si="111"/>
        <v>859.24800000000005</v>
      </c>
      <c r="K355" s="128">
        <f t="shared" si="103"/>
        <v>4.8000000000001819E-2</v>
      </c>
      <c r="L355" s="128">
        <f t="shared" si="104"/>
        <v>100.00558659217877</v>
      </c>
      <c r="M355" s="128">
        <f t="shared" si="109"/>
        <v>0</v>
      </c>
      <c r="N355" s="128">
        <f t="shared" si="105"/>
        <v>100</v>
      </c>
      <c r="O355" s="128">
        <f t="shared" si="112"/>
        <v>358.02</v>
      </c>
      <c r="P355" s="128">
        <f t="shared" si="106"/>
        <v>100.00558659217877</v>
      </c>
      <c r="Q355" s="128">
        <f t="shared" si="107"/>
        <v>619.20000000000005</v>
      </c>
      <c r="R355" s="128">
        <f t="shared" si="113"/>
        <v>358</v>
      </c>
      <c r="S355" s="128">
        <f t="shared" si="96"/>
        <v>0.811122070701909</v>
      </c>
    </row>
    <row r="356" spans="1:19" ht="24.75" customHeight="1">
      <c r="A356" s="139" t="s">
        <v>579</v>
      </c>
      <c r="B356" s="140">
        <v>10</v>
      </c>
      <c r="C356" s="141">
        <v>1</v>
      </c>
      <c r="D356" s="191">
        <v>4010071600</v>
      </c>
      <c r="E356" s="215"/>
      <c r="F356" s="215"/>
      <c r="G356" s="128">
        <f t="shared" si="111"/>
        <v>240</v>
      </c>
      <c r="H356" s="128">
        <f>SUM(H357)</f>
        <v>859.2</v>
      </c>
      <c r="I356" s="128">
        <f t="shared" si="111"/>
        <v>859.24800000000005</v>
      </c>
      <c r="J356" s="128">
        <f t="shared" si="111"/>
        <v>859.24800000000005</v>
      </c>
      <c r="K356" s="128">
        <f t="shared" si="103"/>
        <v>4.8000000000001819E-2</v>
      </c>
      <c r="L356" s="128">
        <f t="shared" si="104"/>
        <v>100.00558659217877</v>
      </c>
      <c r="M356" s="128">
        <f t="shared" si="109"/>
        <v>0</v>
      </c>
      <c r="N356" s="128">
        <f t="shared" si="105"/>
        <v>100</v>
      </c>
      <c r="O356" s="128">
        <f t="shared" si="112"/>
        <v>358.02</v>
      </c>
      <c r="P356" s="128">
        <f t="shared" si="106"/>
        <v>100.00558659217877</v>
      </c>
      <c r="Q356" s="128">
        <f t="shared" si="107"/>
        <v>619.20000000000005</v>
      </c>
      <c r="R356" s="128">
        <f t="shared" si="113"/>
        <v>358</v>
      </c>
      <c r="S356" s="128">
        <f t="shared" si="96"/>
        <v>0.811122070701909</v>
      </c>
    </row>
    <row r="357" spans="1:19" ht="36.75" customHeight="1">
      <c r="A357" s="139" t="s">
        <v>484</v>
      </c>
      <c r="B357" s="140">
        <v>10</v>
      </c>
      <c r="C357" s="141">
        <v>1</v>
      </c>
      <c r="D357" s="191">
        <v>4010071600</v>
      </c>
      <c r="E357" s="215">
        <v>300</v>
      </c>
      <c r="F357" s="215"/>
      <c r="G357" s="128">
        <f>G358</f>
        <v>240</v>
      </c>
      <c r="H357" s="128">
        <f>H358</f>
        <v>859.2</v>
      </c>
      <c r="I357" s="128">
        <f>I358</f>
        <v>859.24800000000005</v>
      </c>
      <c r="J357" s="128">
        <f>J358</f>
        <v>859.24800000000005</v>
      </c>
      <c r="K357" s="128">
        <f t="shared" si="103"/>
        <v>4.8000000000001819E-2</v>
      </c>
      <c r="L357" s="128">
        <f t="shared" si="104"/>
        <v>100.00558659217877</v>
      </c>
      <c r="M357" s="128">
        <f t="shared" si="109"/>
        <v>0</v>
      </c>
      <c r="N357" s="128">
        <f t="shared" si="105"/>
        <v>100</v>
      </c>
      <c r="O357" s="128">
        <f t="shared" si="112"/>
        <v>358.02</v>
      </c>
      <c r="P357" s="128">
        <f t="shared" si="106"/>
        <v>100.00558659217877</v>
      </c>
      <c r="Q357" s="128">
        <f t="shared" si="107"/>
        <v>619.20000000000005</v>
      </c>
      <c r="R357" s="128">
        <f t="shared" si="113"/>
        <v>358</v>
      </c>
      <c r="S357" s="128">
        <f t="shared" si="96"/>
        <v>0.811122070701909</v>
      </c>
    </row>
    <row r="358" spans="1:19" ht="34.5" customHeight="1">
      <c r="A358" s="139" t="s">
        <v>580</v>
      </c>
      <c r="B358" s="140">
        <v>10</v>
      </c>
      <c r="C358" s="141">
        <v>1</v>
      </c>
      <c r="D358" s="191">
        <v>4010071600</v>
      </c>
      <c r="E358" s="215">
        <v>312</v>
      </c>
      <c r="F358" s="215">
        <v>264</v>
      </c>
      <c r="G358" s="128">
        <v>240</v>
      </c>
      <c r="H358" s="128">
        <v>859.2</v>
      </c>
      <c r="I358" s="128">
        <v>859.24800000000005</v>
      </c>
      <c r="J358" s="128">
        <v>859.24800000000005</v>
      </c>
      <c r="K358" s="128">
        <f t="shared" si="103"/>
        <v>4.8000000000001819E-2</v>
      </c>
      <c r="L358" s="128">
        <f t="shared" si="104"/>
        <v>100.00558659217877</v>
      </c>
      <c r="M358" s="128">
        <f t="shared" si="109"/>
        <v>0</v>
      </c>
      <c r="N358" s="128">
        <f t="shared" si="105"/>
        <v>100</v>
      </c>
      <c r="O358" s="128">
        <f t="shared" si="112"/>
        <v>358.02</v>
      </c>
      <c r="P358" s="128">
        <f t="shared" si="106"/>
        <v>100.00558659217877</v>
      </c>
      <c r="Q358" s="128">
        <f t="shared" si="107"/>
        <v>619.20000000000005</v>
      </c>
      <c r="R358" s="128">
        <f t="shared" si="113"/>
        <v>358</v>
      </c>
      <c r="S358" s="128">
        <f t="shared" si="96"/>
        <v>0.811122070701909</v>
      </c>
    </row>
    <row r="359" spans="1:19" s="122" customFormat="1" ht="21" customHeight="1">
      <c r="A359" s="167" t="s">
        <v>581</v>
      </c>
      <c r="B359" s="163">
        <v>11</v>
      </c>
      <c r="C359" s="163"/>
      <c r="D359" s="163"/>
      <c r="E359" s="163"/>
      <c r="F359" s="163"/>
      <c r="G359" s="121">
        <f>SUM(G360)</f>
        <v>64.599999999999994</v>
      </c>
      <c r="H359" s="121">
        <f>SUM(H360)</f>
        <v>10064</v>
      </c>
      <c r="I359" s="121">
        <f>SUM(I360)</f>
        <v>10063.979380000001</v>
      </c>
      <c r="J359" s="121">
        <f>SUM(J360)</f>
        <v>5160.2665900000002</v>
      </c>
      <c r="K359" s="121">
        <f t="shared" si="103"/>
        <v>-2.0619999999325955E-2</v>
      </c>
      <c r="L359" s="121">
        <f t="shared" si="104"/>
        <v>99.999795111287767</v>
      </c>
      <c r="M359" s="121">
        <f t="shared" si="109"/>
        <v>-4903.7127900000005</v>
      </c>
      <c r="N359" s="121">
        <f t="shared" si="105"/>
        <v>51.274614098026895</v>
      </c>
      <c r="O359" s="121">
        <f t="shared" si="112"/>
        <v>7988.0287770897839</v>
      </c>
      <c r="P359" s="121">
        <f t="shared" si="106"/>
        <v>51.274509042130369</v>
      </c>
      <c r="Q359" s="121">
        <f t="shared" si="107"/>
        <v>9999.4</v>
      </c>
      <c r="R359" s="121">
        <f t="shared" si="113"/>
        <v>15578.947368421055</v>
      </c>
      <c r="S359" s="121">
        <f t="shared" si="96"/>
        <v>4.8712433684508758</v>
      </c>
    </row>
    <row r="360" spans="1:19" s="122" customFormat="1" ht="23.25" customHeight="1">
      <c r="A360" s="204" t="s">
        <v>401</v>
      </c>
      <c r="B360" s="243">
        <v>11</v>
      </c>
      <c r="C360" s="238">
        <v>2</v>
      </c>
      <c r="D360" s="124"/>
      <c r="E360" s="165"/>
      <c r="F360" s="165"/>
      <c r="G360" s="125">
        <f>G381+G361</f>
        <v>64.599999999999994</v>
      </c>
      <c r="H360" s="125">
        <f>H381+H361</f>
        <v>10064</v>
      </c>
      <c r="I360" s="125">
        <f>I381+I361</f>
        <v>10063.979380000001</v>
      </c>
      <c r="J360" s="125">
        <f>J381+J361</f>
        <v>5160.2665900000002</v>
      </c>
      <c r="K360" s="125">
        <f t="shared" si="103"/>
        <v>-2.0619999999325955E-2</v>
      </c>
      <c r="L360" s="125">
        <f t="shared" si="104"/>
        <v>99.999795111287767</v>
      </c>
      <c r="M360" s="125">
        <f t="shared" si="109"/>
        <v>-4903.7127900000005</v>
      </c>
      <c r="N360" s="125">
        <f t="shared" si="105"/>
        <v>51.274614098026895</v>
      </c>
      <c r="O360" s="125">
        <f t="shared" si="112"/>
        <v>7988.0287770897839</v>
      </c>
      <c r="P360" s="125">
        <f t="shared" si="106"/>
        <v>51.274509042130369</v>
      </c>
      <c r="Q360" s="125">
        <f t="shared" si="107"/>
        <v>9999.4</v>
      </c>
      <c r="R360" s="125">
        <f t="shared" si="113"/>
        <v>15578.947368421055</v>
      </c>
      <c r="S360" s="125">
        <f t="shared" si="96"/>
        <v>4.8712433684508758</v>
      </c>
    </row>
    <row r="361" spans="1:19" ht="63.75" customHeight="1">
      <c r="A361" s="221" t="s">
        <v>551</v>
      </c>
      <c r="B361" s="140">
        <v>11</v>
      </c>
      <c r="C361" s="141">
        <v>2</v>
      </c>
      <c r="D361" s="174" t="s">
        <v>552</v>
      </c>
      <c r="E361" s="145"/>
      <c r="F361" s="145"/>
      <c r="G361" s="132">
        <f>G362</f>
        <v>0</v>
      </c>
      <c r="H361" s="132">
        <f>H362</f>
        <v>9999.4</v>
      </c>
      <c r="I361" s="132">
        <f>I362</f>
        <v>9999.3793800000003</v>
      </c>
      <c r="J361" s="132">
        <f>J362</f>
        <v>5095.6665899999998</v>
      </c>
      <c r="K361" s="128">
        <f t="shared" si="103"/>
        <v>-2.0619999999325955E-2</v>
      </c>
      <c r="L361" s="128">
        <f t="shared" si="104"/>
        <v>99.999793787627269</v>
      </c>
      <c r="M361" s="128">
        <f t="shared" si="109"/>
        <v>-4903.7127900000005</v>
      </c>
      <c r="N361" s="128">
        <f t="shared" si="105"/>
        <v>50.959828568880638</v>
      </c>
      <c r="O361" s="128"/>
      <c r="P361" s="128">
        <f t="shared" si="106"/>
        <v>50.959723483409</v>
      </c>
      <c r="Q361" s="128">
        <f t="shared" si="107"/>
        <v>9999.4</v>
      </c>
      <c r="R361" s="128"/>
      <c r="S361" s="128">
        <f t="shared" si="96"/>
        <v>4.8102615730119069</v>
      </c>
    </row>
    <row r="362" spans="1:19" ht="54.75" customHeight="1">
      <c r="A362" s="221" t="s">
        <v>553</v>
      </c>
      <c r="B362" s="140">
        <v>11</v>
      </c>
      <c r="C362" s="141">
        <v>2</v>
      </c>
      <c r="D362" s="174" t="s">
        <v>554</v>
      </c>
      <c r="E362" s="145"/>
      <c r="F362" s="145"/>
      <c r="G362" s="132">
        <f>G363+G369+G375</f>
        <v>0</v>
      </c>
      <c r="H362" s="132">
        <f>H363+H369+H375</f>
        <v>9999.4</v>
      </c>
      <c r="I362" s="132">
        <f>I363+I369+I375</f>
        <v>9999.3793800000003</v>
      </c>
      <c r="J362" s="132">
        <f>J363+J369+J375</f>
        <v>5095.6665899999998</v>
      </c>
      <c r="K362" s="128">
        <f t="shared" si="103"/>
        <v>-2.0619999999325955E-2</v>
      </c>
      <c r="L362" s="128">
        <f t="shared" si="104"/>
        <v>99.999793787627269</v>
      </c>
      <c r="M362" s="128">
        <f t="shared" si="109"/>
        <v>-4903.7127900000005</v>
      </c>
      <c r="N362" s="128">
        <f t="shared" si="105"/>
        <v>50.959828568880638</v>
      </c>
      <c r="O362" s="128"/>
      <c r="P362" s="128">
        <f t="shared" si="106"/>
        <v>50.959723483409</v>
      </c>
      <c r="Q362" s="128">
        <f t="shared" si="107"/>
        <v>9999.4</v>
      </c>
      <c r="R362" s="128"/>
      <c r="S362" s="128">
        <f t="shared" si="96"/>
        <v>4.8102615730119069</v>
      </c>
    </row>
    <row r="363" spans="1:19" ht="58.5" customHeight="1">
      <c r="A363" s="221" t="s">
        <v>582</v>
      </c>
      <c r="B363" s="140">
        <v>11</v>
      </c>
      <c r="C363" s="141">
        <v>2</v>
      </c>
      <c r="D363" s="174" t="s">
        <v>583</v>
      </c>
      <c r="E363" s="145"/>
      <c r="F363" s="145"/>
      <c r="G363" s="132">
        <f>G364</f>
        <v>0</v>
      </c>
      <c r="H363" s="132">
        <f>H364</f>
        <v>6900</v>
      </c>
      <c r="I363" s="132">
        <f>I364</f>
        <v>6900</v>
      </c>
      <c r="J363" s="132">
        <f>J364</f>
        <v>3516.2276300000003</v>
      </c>
      <c r="K363" s="128">
        <f t="shared" si="103"/>
        <v>0</v>
      </c>
      <c r="L363" s="128">
        <f t="shared" si="104"/>
        <v>100</v>
      </c>
      <c r="M363" s="128">
        <f t="shared" si="109"/>
        <v>-3383.7723699999997</v>
      </c>
      <c r="N363" s="128">
        <f t="shared" si="105"/>
        <v>50.95982072463768</v>
      </c>
      <c r="O363" s="128"/>
      <c r="P363" s="128">
        <f t="shared" si="106"/>
        <v>50.95982072463768</v>
      </c>
      <c r="Q363" s="128">
        <f t="shared" si="107"/>
        <v>6900</v>
      </c>
      <c r="R363" s="128"/>
      <c r="S363" s="128">
        <f t="shared" si="96"/>
        <v>3.3192859759986244</v>
      </c>
    </row>
    <row r="364" spans="1:19" ht="51.75" customHeight="1">
      <c r="A364" s="126" t="s">
        <v>431</v>
      </c>
      <c r="B364" s="140">
        <v>11</v>
      </c>
      <c r="C364" s="141">
        <v>2</v>
      </c>
      <c r="D364" s="174" t="s">
        <v>583</v>
      </c>
      <c r="E364" s="143">
        <v>200</v>
      </c>
      <c r="F364" s="143"/>
      <c r="G364" s="132">
        <f>SUM(G365)</f>
        <v>0</v>
      </c>
      <c r="H364" s="132">
        <f>SUM(H365)</f>
        <v>6900</v>
      </c>
      <c r="I364" s="132">
        <f>SUM(I365)</f>
        <v>6900</v>
      </c>
      <c r="J364" s="132">
        <f>SUM(J365)</f>
        <v>3516.2276300000003</v>
      </c>
      <c r="K364" s="128">
        <f t="shared" si="103"/>
        <v>0</v>
      </c>
      <c r="L364" s="128">
        <f t="shared" si="104"/>
        <v>100</v>
      </c>
      <c r="M364" s="128">
        <f t="shared" si="109"/>
        <v>-3383.7723699999997</v>
      </c>
      <c r="N364" s="128">
        <f t="shared" si="105"/>
        <v>50.95982072463768</v>
      </c>
      <c r="O364" s="128"/>
      <c r="P364" s="128">
        <f t="shared" si="106"/>
        <v>50.95982072463768</v>
      </c>
      <c r="Q364" s="128">
        <f t="shared" si="107"/>
        <v>6900</v>
      </c>
      <c r="R364" s="128"/>
      <c r="S364" s="128">
        <f t="shared" si="96"/>
        <v>3.3192859759986244</v>
      </c>
    </row>
    <row r="365" spans="1:19" ht="44.25" customHeight="1">
      <c r="A365" s="254" t="s">
        <v>433</v>
      </c>
      <c r="B365" s="140">
        <v>11</v>
      </c>
      <c r="C365" s="141">
        <v>2</v>
      </c>
      <c r="D365" s="174" t="s">
        <v>583</v>
      </c>
      <c r="E365" s="143">
        <v>240</v>
      </c>
      <c r="F365" s="143"/>
      <c r="G365" s="132"/>
      <c r="H365" s="132">
        <v>6900</v>
      </c>
      <c r="I365" s="132">
        <f>I366+I367+I368</f>
        <v>6900</v>
      </c>
      <c r="J365" s="132">
        <f>J366+J367+J368</f>
        <v>3516.2276300000003</v>
      </c>
      <c r="K365" s="128">
        <f>I365-H365</f>
        <v>0</v>
      </c>
      <c r="L365" s="128">
        <f>I365/H365*100</f>
        <v>100</v>
      </c>
      <c r="M365" s="128">
        <f>J365-I365</f>
        <v>-3383.7723699999997</v>
      </c>
      <c r="N365" s="128">
        <f t="shared" si="105"/>
        <v>50.95982072463768</v>
      </c>
      <c r="O365" s="128"/>
      <c r="P365" s="128">
        <f t="shared" si="106"/>
        <v>50.95982072463768</v>
      </c>
      <c r="Q365" s="128">
        <f t="shared" si="107"/>
        <v>6900</v>
      </c>
      <c r="R365" s="128"/>
      <c r="S365" s="128">
        <f t="shared" si="96"/>
        <v>3.3192859759986244</v>
      </c>
    </row>
    <row r="366" spans="1:19" ht="24" customHeight="1">
      <c r="A366" s="254"/>
      <c r="B366" s="140">
        <v>11</v>
      </c>
      <c r="C366" s="141">
        <v>2</v>
      </c>
      <c r="D366" s="174" t="s">
        <v>583</v>
      </c>
      <c r="E366" s="143">
        <v>244</v>
      </c>
      <c r="F366" s="143">
        <v>228</v>
      </c>
      <c r="G366" s="132"/>
      <c r="H366" s="132"/>
      <c r="I366" s="132">
        <v>6363.0434599999999</v>
      </c>
      <c r="J366" s="132">
        <v>2979.2710900000002</v>
      </c>
      <c r="K366" s="128"/>
      <c r="L366" s="128"/>
      <c r="M366" s="128">
        <f>J366-I366</f>
        <v>-3383.7723699999997</v>
      </c>
      <c r="N366" s="128"/>
      <c r="O366" s="128"/>
      <c r="P366" s="128"/>
      <c r="Q366" s="128"/>
      <c r="R366" s="128"/>
      <c r="S366" s="128"/>
    </row>
    <row r="367" spans="1:19" ht="23.25" customHeight="1">
      <c r="A367" s="254"/>
      <c r="B367" s="140">
        <v>11</v>
      </c>
      <c r="C367" s="141">
        <v>2</v>
      </c>
      <c r="D367" s="174" t="s">
        <v>583</v>
      </c>
      <c r="E367" s="143">
        <v>244</v>
      </c>
      <c r="F367" s="143">
        <v>346</v>
      </c>
      <c r="G367" s="132"/>
      <c r="H367" s="132"/>
      <c r="I367" s="132">
        <v>13.816319999999999</v>
      </c>
      <c r="J367" s="132">
        <v>13.816319999999999</v>
      </c>
      <c r="K367" s="128"/>
      <c r="L367" s="128"/>
      <c r="M367" s="128">
        <f>J367-I367</f>
        <v>0</v>
      </c>
      <c r="N367" s="128"/>
      <c r="O367" s="128"/>
      <c r="P367" s="128"/>
      <c r="Q367" s="128"/>
      <c r="R367" s="128"/>
      <c r="S367" s="128"/>
    </row>
    <row r="368" spans="1:19" ht="19.5" customHeight="1">
      <c r="A368" s="254"/>
      <c r="B368" s="140">
        <v>11</v>
      </c>
      <c r="C368" s="141">
        <v>2</v>
      </c>
      <c r="D368" s="174" t="s">
        <v>583</v>
      </c>
      <c r="E368" s="143">
        <v>244</v>
      </c>
      <c r="F368" s="143">
        <v>347</v>
      </c>
      <c r="G368" s="132"/>
      <c r="H368" s="132"/>
      <c r="I368" s="132">
        <v>523.14022</v>
      </c>
      <c r="J368" s="132">
        <v>523.14022</v>
      </c>
      <c r="K368" s="128"/>
      <c r="L368" s="128"/>
      <c r="M368" s="128">
        <f>J368-I368</f>
        <v>0</v>
      </c>
      <c r="N368" s="128"/>
      <c r="O368" s="128"/>
      <c r="P368" s="128"/>
      <c r="Q368" s="128"/>
      <c r="R368" s="128"/>
      <c r="S368" s="128"/>
    </row>
    <row r="369" spans="1:19" ht="61.5" customHeight="1">
      <c r="A369" s="205" t="s">
        <v>584</v>
      </c>
      <c r="B369" s="255">
        <v>11</v>
      </c>
      <c r="C369" s="256">
        <v>2</v>
      </c>
      <c r="D369" s="257" t="s">
        <v>585</v>
      </c>
      <c r="E369" s="258"/>
      <c r="F369" s="258"/>
      <c r="G369" s="220">
        <f>G370</f>
        <v>0</v>
      </c>
      <c r="H369" s="132">
        <f>H370</f>
        <v>3000.8</v>
      </c>
      <c r="I369" s="132">
        <f>I370</f>
        <v>3000.7793799999999</v>
      </c>
      <c r="J369" s="132">
        <f>J370</f>
        <v>1529.19281</v>
      </c>
      <c r="K369" s="128">
        <f t="shared" si="103"/>
        <v>-2.062000000023545E-2</v>
      </c>
      <c r="L369" s="128">
        <f t="shared" si="104"/>
        <v>99.999312849906687</v>
      </c>
      <c r="M369" s="128">
        <f t="shared" si="109"/>
        <v>-1471.5865699999999</v>
      </c>
      <c r="N369" s="128">
        <f t="shared" si="105"/>
        <v>50.959854636164557</v>
      </c>
      <c r="O369" s="128"/>
      <c r="P369" s="128">
        <f t="shared" si="106"/>
        <v>50.959504465475867</v>
      </c>
      <c r="Q369" s="128">
        <f t="shared" si="107"/>
        <v>3000.8</v>
      </c>
      <c r="R369" s="128"/>
      <c r="S369" s="128">
        <f>J369/$J$386*100</f>
        <v>1.4435437016433799</v>
      </c>
    </row>
    <row r="370" spans="1:19" ht="44.25" customHeight="1">
      <c r="A370" s="126" t="s">
        <v>431</v>
      </c>
      <c r="B370" s="140">
        <v>11</v>
      </c>
      <c r="C370" s="141">
        <v>2</v>
      </c>
      <c r="D370" s="174" t="s">
        <v>585</v>
      </c>
      <c r="E370" s="143">
        <v>200</v>
      </c>
      <c r="F370" s="143"/>
      <c r="G370" s="132">
        <f>SUM(G371)</f>
        <v>0</v>
      </c>
      <c r="H370" s="132">
        <f>SUM(H371)</f>
        <v>3000.8</v>
      </c>
      <c r="I370" s="132">
        <f>SUM(I371)</f>
        <v>3000.7793799999999</v>
      </c>
      <c r="J370" s="132">
        <f>SUM(J371)</f>
        <v>1529.19281</v>
      </c>
      <c r="K370" s="128">
        <f t="shared" si="103"/>
        <v>-2.062000000023545E-2</v>
      </c>
      <c r="L370" s="128">
        <f t="shared" si="104"/>
        <v>99.999312849906687</v>
      </c>
      <c r="M370" s="128">
        <f t="shared" si="109"/>
        <v>-1471.5865699999999</v>
      </c>
      <c r="N370" s="128">
        <f t="shared" si="105"/>
        <v>50.959854636164557</v>
      </c>
      <c r="O370" s="128"/>
      <c r="P370" s="128">
        <f t="shared" si="106"/>
        <v>50.959504465475867</v>
      </c>
      <c r="Q370" s="128">
        <f t="shared" si="107"/>
        <v>3000.8</v>
      </c>
      <c r="R370" s="128"/>
      <c r="S370" s="128">
        <f>J370/$J$386*100</f>
        <v>1.4435437016433799</v>
      </c>
    </row>
    <row r="371" spans="1:19" ht="53.25" customHeight="1">
      <c r="A371" s="254" t="s">
        <v>433</v>
      </c>
      <c r="B371" s="140">
        <v>11</v>
      </c>
      <c r="C371" s="141">
        <v>2</v>
      </c>
      <c r="D371" s="174" t="s">
        <v>585</v>
      </c>
      <c r="E371" s="143">
        <v>240</v>
      </c>
      <c r="F371" s="143"/>
      <c r="G371" s="132"/>
      <c r="H371" s="132">
        <v>3000.8</v>
      </c>
      <c r="I371" s="132">
        <f>I372+I373+I374</f>
        <v>3000.7793799999999</v>
      </c>
      <c r="J371" s="132">
        <f>J372+J373+J374</f>
        <v>1529.19281</v>
      </c>
      <c r="K371" s="128">
        <f t="shared" si="103"/>
        <v>-2.062000000023545E-2</v>
      </c>
      <c r="L371" s="128">
        <f t="shared" si="104"/>
        <v>99.999312849906687</v>
      </c>
      <c r="M371" s="128">
        <f t="shared" si="109"/>
        <v>-1471.5865699999999</v>
      </c>
      <c r="N371" s="128">
        <f t="shared" si="105"/>
        <v>50.959854636164557</v>
      </c>
      <c r="O371" s="128"/>
      <c r="P371" s="128">
        <f t="shared" si="106"/>
        <v>50.959504465475867</v>
      </c>
      <c r="Q371" s="128">
        <f t="shared" si="107"/>
        <v>3000.8</v>
      </c>
      <c r="R371" s="128"/>
      <c r="S371" s="128">
        <f>J371/$J$386*100</f>
        <v>1.4435437016433799</v>
      </c>
    </row>
    <row r="372" spans="1:19" ht="29.25" customHeight="1">
      <c r="A372" s="254"/>
      <c r="B372" s="140">
        <v>11</v>
      </c>
      <c r="C372" s="141">
        <v>2</v>
      </c>
      <c r="D372" s="174" t="s">
        <v>585</v>
      </c>
      <c r="E372" s="143">
        <v>244</v>
      </c>
      <c r="F372" s="143">
        <v>228</v>
      </c>
      <c r="G372" s="132"/>
      <c r="H372" s="132"/>
      <c r="I372" s="132">
        <v>2767.2571600000001</v>
      </c>
      <c r="J372" s="132">
        <v>1295.67</v>
      </c>
      <c r="K372" s="128"/>
      <c r="L372" s="128"/>
      <c r="M372" s="128">
        <f t="shared" si="109"/>
        <v>-1471.58716</v>
      </c>
      <c r="N372" s="128"/>
      <c r="O372" s="128"/>
      <c r="P372" s="128"/>
      <c r="Q372" s="128"/>
      <c r="R372" s="128"/>
      <c r="S372" s="128"/>
    </row>
    <row r="373" spans="1:19" ht="27.75" customHeight="1">
      <c r="A373" s="254"/>
      <c r="B373" s="140">
        <v>11</v>
      </c>
      <c r="C373" s="141">
        <v>2</v>
      </c>
      <c r="D373" s="174" t="s">
        <v>585</v>
      </c>
      <c r="E373" s="143">
        <v>244</v>
      </c>
      <c r="F373" s="143">
        <v>346</v>
      </c>
      <c r="G373" s="132"/>
      <c r="H373" s="132"/>
      <c r="I373" s="132">
        <v>6.0110000000000001</v>
      </c>
      <c r="J373" s="132">
        <v>6.0116199999999997</v>
      </c>
      <c r="K373" s="128"/>
      <c r="L373" s="128"/>
      <c r="M373" s="128">
        <f t="shared" si="109"/>
        <v>6.1999999999962085E-4</v>
      </c>
      <c r="N373" s="128"/>
      <c r="O373" s="128"/>
      <c r="P373" s="128"/>
      <c r="Q373" s="128"/>
      <c r="R373" s="128"/>
      <c r="S373" s="128"/>
    </row>
    <row r="374" spans="1:19" ht="26.25" customHeight="1">
      <c r="A374" s="254"/>
      <c r="B374" s="140">
        <v>11</v>
      </c>
      <c r="C374" s="141">
        <v>2</v>
      </c>
      <c r="D374" s="174" t="s">
        <v>585</v>
      </c>
      <c r="E374" s="143">
        <v>244</v>
      </c>
      <c r="F374" s="143">
        <v>347</v>
      </c>
      <c r="G374" s="132"/>
      <c r="H374" s="132"/>
      <c r="I374" s="132">
        <v>227.51122000000001</v>
      </c>
      <c r="J374" s="132">
        <v>227.51119</v>
      </c>
      <c r="K374" s="128"/>
      <c r="L374" s="128"/>
      <c r="M374" s="128">
        <f t="shared" si="109"/>
        <v>-3.000000000952241E-5</v>
      </c>
      <c r="N374" s="128"/>
      <c r="O374" s="128"/>
      <c r="P374" s="128"/>
      <c r="Q374" s="128"/>
      <c r="R374" s="128"/>
      <c r="S374" s="128"/>
    </row>
    <row r="375" spans="1:19" ht="58.5" customHeight="1">
      <c r="A375" s="205" t="s">
        <v>586</v>
      </c>
      <c r="B375" s="255">
        <v>11</v>
      </c>
      <c r="C375" s="141">
        <v>2</v>
      </c>
      <c r="D375" s="174" t="s">
        <v>587</v>
      </c>
      <c r="E375" s="145"/>
      <c r="F375" s="145"/>
      <c r="G375" s="132">
        <f>G376</f>
        <v>0</v>
      </c>
      <c r="H375" s="132">
        <f>H376</f>
        <v>98.6</v>
      </c>
      <c r="I375" s="132">
        <f>I376</f>
        <v>98.6</v>
      </c>
      <c r="J375" s="132">
        <f>J376</f>
        <v>50.24615</v>
      </c>
      <c r="K375" s="128">
        <f t="shared" si="103"/>
        <v>0</v>
      </c>
      <c r="L375" s="128">
        <f t="shared" si="104"/>
        <v>100</v>
      </c>
      <c r="M375" s="128">
        <f t="shared" si="109"/>
        <v>-48.353849999999994</v>
      </c>
      <c r="N375" s="128">
        <f t="shared" si="105"/>
        <v>50.959584178498986</v>
      </c>
      <c r="O375" s="128"/>
      <c r="P375" s="128">
        <f t="shared" si="106"/>
        <v>50.959584178498986</v>
      </c>
      <c r="Q375" s="128">
        <f t="shared" si="107"/>
        <v>98.6</v>
      </c>
      <c r="R375" s="128"/>
      <c r="S375" s="128">
        <f>J375/$J$386*100</f>
        <v>4.743189536990336E-2</v>
      </c>
    </row>
    <row r="376" spans="1:19" ht="45" customHeight="1">
      <c r="A376" s="126" t="s">
        <v>431</v>
      </c>
      <c r="B376" s="140">
        <v>11</v>
      </c>
      <c r="C376" s="141">
        <v>2</v>
      </c>
      <c r="D376" s="174" t="s">
        <v>587</v>
      </c>
      <c r="E376" s="143">
        <v>200</v>
      </c>
      <c r="F376" s="143"/>
      <c r="G376" s="132">
        <f>SUM(G377)</f>
        <v>0</v>
      </c>
      <c r="H376" s="132">
        <f>SUM(H377)</f>
        <v>98.6</v>
      </c>
      <c r="I376" s="132">
        <f>SUM(I377)</f>
        <v>98.6</v>
      </c>
      <c r="J376" s="132">
        <f>SUM(J377)</f>
        <v>50.24615</v>
      </c>
      <c r="K376" s="128">
        <f t="shared" si="103"/>
        <v>0</v>
      </c>
      <c r="L376" s="128">
        <f t="shared" si="104"/>
        <v>100</v>
      </c>
      <c r="M376" s="128">
        <f t="shared" si="109"/>
        <v>-48.353849999999994</v>
      </c>
      <c r="N376" s="128">
        <f t="shared" si="105"/>
        <v>50.959584178498986</v>
      </c>
      <c r="O376" s="128"/>
      <c r="P376" s="128">
        <f t="shared" si="106"/>
        <v>50.959584178498986</v>
      </c>
      <c r="Q376" s="128">
        <f t="shared" si="107"/>
        <v>98.6</v>
      </c>
      <c r="R376" s="128"/>
      <c r="S376" s="128">
        <f>J376/$J$386*100</f>
        <v>4.743189536990336E-2</v>
      </c>
    </row>
    <row r="377" spans="1:19" ht="43.5" customHeight="1">
      <c r="A377" s="139" t="s">
        <v>433</v>
      </c>
      <c r="B377" s="140">
        <v>11</v>
      </c>
      <c r="C377" s="141">
        <v>2</v>
      </c>
      <c r="D377" s="174" t="s">
        <v>587</v>
      </c>
      <c r="E377" s="143">
        <v>240</v>
      </c>
      <c r="F377" s="143"/>
      <c r="G377" s="132"/>
      <c r="H377" s="132">
        <v>98.6</v>
      </c>
      <c r="I377" s="132">
        <f>I378+I379+I380</f>
        <v>98.6</v>
      </c>
      <c r="J377" s="132">
        <f>J378+J379+J380</f>
        <v>50.24615</v>
      </c>
      <c r="K377" s="128">
        <f t="shared" si="103"/>
        <v>0</v>
      </c>
      <c r="L377" s="128">
        <f t="shared" si="104"/>
        <v>100</v>
      </c>
      <c r="M377" s="128">
        <f t="shared" si="109"/>
        <v>-48.353849999999994</v>
      </c>
      <c r="N377" s="128">
        <f t="shared" si="105"/>
        <v>50.959584178498986</v>
      </c>
      <c r="O377" s="128"/>
      <c r="P377" s="128">
        <f t="shared" si="106"/>
        <v>50.959584178498986</v>
      </c>
      <c r="Q377" s="128">
        <f t="shared" si="107"/>
        <v>98.6</v>
      </c>
      <c r="R377" s="128"/>
      <c r="S377" s="128">
        <f>J377/$J$386*100</f>
        <v>4.743189536990336E-2</v>
      </c>
    </row>
    <row r="378" spans="1:19" ht="25.5" customHeight="1">
      <c r="A378" s="139"/>
      <c r="B378" s="140">
        <v>11</v>
      </c>
      <c r="C378" s="141">
        <v>2</v>
      </c>
      <c r="D378" s="174" t="s">
        <v>587</v>
      </c>
      <c r="E378" s="143">
        <v>244</v>
      </c>
      <c r="F378" s="143">
        <v>228</v>
      </c>
      <c r="G378" s="132"/>
      <c r="H378" s="132"/>
      <c r="I378" s="132">
        <v>90.926850000000002</v>
      </c>
      <c r="J378" s="132">
        <v>42.573</v>
      </c>
      <c r="K378" s="128"/>
      <c r="L378" s="128"/>
      <c r="M378" s="128">
        <f t="shared" si="109"/>
        <v>-48.353850000000001</v>
      </c>
      <c r="N378" s="128"/>
      <c r="O378" s="128"/>
      <c r="P378" s="128"/>
      <c r="Q378" s="128"/>
      <c r="R378" s="128"/>
      <c r="S378" s="128"/>
    </row>
    <row r="379" spans="1:19" ht="24.75" customHeight="1">
      <c r="A379" s="139"/>
      <c r="B379" s="140">
        <v>11</v>
      </c>
      <c r="C379" s="141">
        <v>2</v>
      </c>
      <c r="D379" s="174" t="s">
        <v>587</v>
      </c>
      <c r="E379" s="143">
        <v>244</v>
      </c>
      <c r="F379" s="143">
        <v>346</v>
      </c>
      <c r="G379" s="132"/>
      <c r="H379" s="132"/>
      <c r="I379" s="132">
        <v>0.19756000000000001</v>
      </c>
      <c r="J379" s="132">
        <v>0.19756000000000001</v>
      </c>
      <c r="K379" s="128"/>
      <c r="L379" s="128"/>
      <c r="M379" s="128">
        <f>J379-I379</f>
        <v>0</v>
      </c>
      <c r="N379" s="128"/>
      <c r="O379" s="128"/>
      <c r="P379" s="128"/>
      <c r="Q379" s="128"/>
      <c r="R379" s="128"/>
      <c r="S379" s="128"/>
    </row>
    <row r="380" spans="1:19" ht="21" customHeight="1">
      <c r="A380" s="139"/>
      <c r="B380" s="140">
        <v>11</v>
      </c>
      <c r="C380" s="141">
        <v>2</v>
      </c>
      <c r="D380" s="174" t="s">
        <v>587</v>
      </c>
      <c r="E380" s="143">
        <v>244</v>
      </c>
      <c r="F380" s="143">
        <v>347</v>
      </c>
      <c r="G380" s="132"/>
      <c r="H380" s="132"/>
      <c r="I380" s="132">
        <v>7.4755900000000004</v>
      </c>
      <c r="J380" s="132">
        <v>7.4755900000000004</v>
      </c>
      <c r="K380" s="128"/>
      <c r="L380" s="128"/>
      <c r="M380" s="128">
        <f t="shared" si="109"/>
        <v>0</v>
      </c>
      <c r="N380" s="128"/>
      <c r="O380" s="128"/>
      <c r="P380" s="128"/>
      <c r="Q380" s="128"/>
      <c r="R380" s="128"/>
      <c r="S380" s="128"/>
    </row>
    <row r="381" spans="1:19" ht="33" customHeight="1">
      <c r="A381" s="190" t="s">
        <v>413</v>
      </c>
      <c r="B381" s="140">
        <v>11</v>
      </c>
      <c r="C381" s="141">
        <v>2</v>
      </c>
      <c r="D381" s="142">
        <v>4000000000</v>
      </c>
      <c r="E381" s="143"/>
      <c r="F381" s="143"/>
      <c r="G381" s="132">
        <f t="shared" ref="G381:J384" si="114">SUM(G382)</f>
        <v>64.599999999999994</v>
      </c>
      <c r="H381" s="132">
        <f>SUM(H382)</f>
        <v>64.599999999999994</v>
      </c>
      <c r="I381" s="132">
        <f t="shared" si="114"/>
        <v>64.599999999999994</v>
      </c>
      <c r="J381" s="132">
        <f t="shared" si="114"/>
        <v>64.599999999999994</v>
      </c>
      <c r="K381" s="128">
        <f t="shared" si="103"/>
        <v>0</v>
      </c>
      <c r="L381" s="128">
        <f t="shared" si="104"/>
        <v>100</v>
      </c>
      <c r="M381" s="128">
        <f t="shared" si="109"/>
        <v>0</v>
      </c>
      <c r="N381" s="128">
        <f t="shared" si="105"/>
        <v>100</v>
      </c>
      <c r="O381" s="128">
        <f t="shared" ref="O381:O386" si="115">J381/G381*100</f>
        <v>100</v>
      </c>
      <c r="P381" s="128">
        <f t="shared" si="106"/>
        <v>100</v>
      </c>
      <c r="Q381" s="128">
        <f t="shared" si="107"/>
        <v>0</v>
      </c>
      <c r="R381" s="128">
        <f t="shared" ref="R381:R386" si="116">H381/G381*100</f>
        <v>100</v>
      </c>
      <c r="S381" s="128">
        <f t="shared" ref="S381:S386" si="117">J381/$J$386*100</f>
        <v>6.0981795438969089E-2</v>
      </c>
    </row>
    <row r="382" spans="1:19" ht="50.25" customHeight="1">
      <c r="A382" s="139" t="s">
        <v>588</v>
      </c>
      <c r="B382" s="156">
        <v>11</v>
      </c>
      <c r="C382" s="157">
        <v>2</v>
      </c>
      <c r="D382" s="143">
        <v>4100000000</v>
      </c>
      <c r="E382" s="143"/>
      <c r="F382" s="143"/>
      <c r="G382" s="132">
        <f t="shared" si="114"/>
        <v>64.599999999999994</v>
      </c>
      <c r="H382" s="132">
        <f>SUM(H383)</f>
        <v>64.599999999999994</v>
      </c>
      <c r="I382" s="132">
        <f t="shared" si="114"/>
        <v>64.599999999999994</v>
      </c>
      <c r="J382" s="132">
        <f t="shared" si="114"/>
        <v>64.599999999999994</v>
      </c>
      <c r="K382" s="128">
        <f t="shared" si="103"/>
        <v>0</v>
      </c>
      <c r="L382" s="128">
        <f t="shared" si="104"/>
        <v>100</v>
      </c>
      <c r="M382" s="128">
        <f t="shared" si="109"/>
        <v>0</v>
      </c>
      <c r="N382" s="128">
        <f t="shared" si="105"/>
        <v>100</v>
      </c>
      <c r="O382" s="128">
        <f t="shared" si="115"/>
        <v>100</v>
      </c>
      <c r="P382" s="128">
        <f t="shared" si="106"/>
        <v>100</v>
      </c>
      <c r="Q382" s="128">
        <f t="shared" si="107"/>
        <v>0</v>
      </c>
      <c r="R382" s="128">
        <f t="shared" si="116"/>
        <v>100</v>
      </c>
      <c r="S382" s="128">
        <f t="shared" si="117"/>
        <v>6.0981795438969089E-2</v>
      </c>
    </row>
    <row r="383" spans="1:19" ht="37.5" customHeight="1">
      <c r="A383" s="130" t="s">
        <v>589</v>
      </c>
      <c r="B383" s="156">
        <v>11</v>
      </c>
      <c r="C383" s="157">
        <v>2</v>
      </c>
      <c r="D383" s="143">
        <v>4100020800</v>
      </c>
      <c r="E383" s="143"/>
      <c r="F383" s="143"/>
      <c r="G383" s="132">
        <f t="shared" si="114"/>
        <v>64.599999999999994</v>
      </c>
      <c r="H383" s="132">
        <f>SUM(H384)</f>
        <v>64.599999999999994</v>
      </c>
      <c r="I383" s="132">
        <f t="shared" si="114"/>
        <v>64.599999999999994</v>
      </c>
      <c r="J383" s="132">
        <f t="shared" si="114"/>
        <v>64.599999999999994</v>
      </c>
      <c r="K383" s="128">
        <f t="shared" si="103"/>
        <v>0</v>
      </c>
      <c r="L383" s="128">
        <f t="shared" si="104"/>
        <v>100</v>
      </c>
      <c r="M383" s="128">
        <f t="shared" si="109"/>
        <v>0</v>
      </c>
      <c r="N383" s="128">
        <f t="shared" si="105"/>
        <v>100</v>
      </c>
      <c r="O383" s="128">
        <f t="shared" si="115"/>
        <v>100</v>
      </c>
      <c r="P383" s="128">
        <f t="shared" si="106"/>
        <v>100</v>
      </c>
      <c r="Q383" s="128">
        <f t="shared" si="107"/>
        <v>0</v>
      </c>
      <c r="R383" s="128">
        <f t="shared" si="116"/>
        <v>100</v>
      </c>
      <c r="S383" s="128">
        <f t="shared" si="117"/>
        <v>6.0981795438969089E-2</v>
      </c>
    </row>
    <row r="384" spans="1:19" ht="45.75" customHeight="1">
      <c r="A384" s="126" t="s">
        <v>431</v>
      </c>
      <c r="B384" s="156">
        <v>11</v>
      </c>
      <c r="C384" s="157">
        <v>2</v>
      </c>
      <c r="D384" s="143">
        <v>4100020800</v>
      </c>
      <c r="E384" s="143">
        <v>200</v>
      </c>
      <c r="F384" s="143"/>
      <c r="G384" s="132">
        <f t="shared" si="114"/>
        <v>64.599999999999994</v>
      </c>
      <c r="H384" s="132">
        <f>SUM(H385)</f>
        <v>64.599999999999994</v>
      </c>
      <c r="I384" s="132">
        <f t="shared" si="114"/>
        <v>64.599999999999994</v>
      </c>
      <c r="J384" s="132">
        <f t="shared" si="114"/>
        <v>64.599999999999994</v>
      </c>
      <c r="K384" s="128">
        <f t="shared" si="103"/>
        <v>0</v>
      </c>
      <c r="L384" s="128">
        <f t="shared" si="104"/>
        <v>100</v>
      </c>
      <c r="M384" s="128">
        <f t="shared" si="109"/>
        <v>0</v>
      </c>
      <c r="N384" s="128">
        <f t="shared" si="105"/>
        <v>100</v>
      </c>
      <c r="O384" s="128">
        <f t="shared" si="115"/>
        <v>100</v>
      </c>
      <c r="P384" s="128">
        <f t="shared" si="106"/>
        <v>100</v>
      </c>
      <c r="Q384" s="128">
        <f t="shared" si="107"/>
        <v>0</v>
      </c>
      <c r="R384" s="128">
        <f t="shared" si="116"/>
        <v>100</v>
      </c>
      <c r="S384" s="128">
        <f t="shared" si="117"/>
        <v>6.0981795438969089E-2</v>
      </c>
    </row>
    <row r="385" spans="1:19" ht="51" customHeight="1">
      <c r="A385" s="139" t="s">
        <v>433</v>
      </c>
      <c r="B385" s="156">
        <v>11</v>
      </c>
      <c r="C385" s="157">
        <v>2</v>
      </c>
      <c r="D385" s="143">
        <v>4100020800</v>
      </c>
      <c r="E385" s="143">
        <v>244</v>
      </c>
      <c r="F385" s="143">
        <v>349</v>
      </c>
      <c r="G385" s="132">
        <v>64.599999999999994</v>
      </c>
      <c r="H385" s="132">
        <v>64.599999999999994</v>
      </c>
      <c r="I385" s="132">
        <v>64.599999999999994</v>
      </c>
      <c r="J385" s="132">
        <v>64.599999999999994</v>
      </c>
      <c r="K385" s="128">
        <f t="shared" si="103"/>
        <v>0</v>
      </c>
      <c r="L385" s="128">
        <f t="shared" si="104"/>
        <v>100</v>
      </c>
      <c r="M385" s="128">
        <f t="shared" si="109"/>
        <v>0</v>
      </c>
      <c r="N385" s="128">
        <f t="shared" si="105"/>
        <v>100</v>
      </c>
      <c r="O385" s="128">
        <f t="shared" si="115"/>
        <v>100</v>
      </c>
      <c r="P385" s="128">
        <f t="shared" si="106"/>
        <v>100</v>
      </c>
      <c r="Q385" s="128">
        <f t="shared" si="107"/>
        <v>0</v>
      </c>
      <c r="R385" s="128">
        <f t="shared" si="116"/>
        <v>100</v>
      </c>
      <c r="S385" s="128">
        <f t="shared" si="117"/>
        <v>6.0981795438969089E-2</v>
      </c>
    </row>
    <row r="386" spans="1:19" s="122" customFormat="1" ht="19.5" customHeight="1" thickBot="1">
      <c r="A386" s="259" t="s">
        <v>590</v>
      </c>
      <c r="B386" s="260"/>
      <c r="C386" s="260"/>
      <c r="D386" s="260"/>
      <c r="E386" s="260"/>
      <c r="F386" s="260"/>
      <c r="G386" s="261">
        <f>G5+G118+G128+G181+G224+G324+G359+G352+G317+G345+G310</f>
        <v>72244.899999999994</v>
      </c>
      <c r="H386" s="261">
        <f>H5+H118+H128+H181+H224+H324+H359+H352+H317+H345+H310</f>
        <v>118415.79999999999</v>
      </c>
      <c r="I386" s="261">
        <f>I5+I118+I128+I181+I224+I324+I359+I352+I317+I345+I310</f>
        <v>118415.83818999999</v>
      </c>
      <c r="J386" s="261">
        <f>J5+J118+J128+J181+J224+J324+J359+J352+J317+J345+J310</f>
        <v>105933.25357999999</v>
      </c>
      <c r="K386" s="121">
        <f t="shared" si="103"/>
        <v>3.8190000006579794E-2</v>
      </c>
      <c r="L386" s="121">
        <f t="shared" si="104"/>
        <v>100.00003225076384</v>
      </c>
      <c r="M386" s="121">
        <f t="shared" si="109"/>
        <v>-12482.584610000005</v>
      </c>
      <c r="N386" s="121">
        <f t="shared" si="105"/>
        <v>89.458686607469247</v>
      </c>
      <c r="O386" s="121">
        <f t="shared" si="115"/>
        <v>146.63077058726637</v>
      </c>
      <c r="P386" s="121">
        <f t="shared" si="106"/>
        <v>89.458715458579007</v>
      </c>
      <c r="Q386" s="121">
        <f t="shared" si="107"/>
        <v>46170.899999999994</v>
      </c>
      <c r="R386" s="121">
        <f t="shared" si="116"/>
        <v>163.9088710760206</v>
      </c>
      <c r="S386" s="121">
        <f t="shared" si="117"/>
        <v>100</v>
      </c>
    </row>
  </sheetData>
  <autoFilter ref="A4:H386"/>
  <mergeCells count="2">
    <mergeCell ref="P1:S1"/>
    <mergeCell ref="A3:S3"/>
  </mergeCells>
  <pageMargins left="0.82677165354330717" right="0.23622047244094491" top="0.55118110236220474" bottom="0.55118110236220474" header="0.31496062992125984" footer="0.31496062992125984"/>
  <pageSetup paperSize="9" scale="50" fitToHeight="0" orientation="portrait" copies="2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1</vt:lpstr>
      <vt:lpstr>2</vt:lpstr>
      <vt:lpstr>3</vt:lpstr>
      <vt:lpstr>Лист1</vt:lpstr>
      <vt:lpstr>'1'!Заголовки_для_печати</vt:lpstr>
      <vt:lpstr>'2'!Заголовки_для_печати</vt:lpstr>
      <vt:lpstr>'3'!Заголовки_для_печати</vt:lpstr>
      <vt:lpstr>'1'!Область_печати</vt:lpstr>
      <vt:lpstr>'2'!Область_печати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2025-03-25T12:45:43Z</dcterms:modified>
</cp:coreProperties>
</file>