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1" sheetId="4" r:id="rId1"/>
    <sheet name="2" sheetId="5" r:id="rId2"/>
    <sheet name="3" sheetId="6" r:id="rId3"/>
    <sheet name="Лист1" sheetId="1" r:id="rId4"/>
    <sheet name="Лист2" sheetId="2" r:id="rId5"/>
    <sheet name="Лист3" sheetId="3" r:id="rId6"/>
  </sheets>
  <definedNames>
    <definedName name="_xlnm._FilterDatabase" localSheetId="2" hidden="1">'3'!$A$4:$S$329</definedName>
    <definedName name="_xlnm.Print_Titles" localSheetId="0">'1'!$4:$5</definedName>
    <definedName name="_xlnm.Print_Titles" localSheetId="1">'2'!$A:$C,'2'!$4:$4</definedName>
    <definedName name="_xlnm.Print_Titles" localSheetId="2">'3'!$4:$4</definedName>
    <definedName name="_xlnm.Print_Area" localSheetId="0">'1'!$A$1:$BT$125</definedName>
    <definedName name="_xlnm.Print_Area" localSheetId="1">'2'!$X$4:$AQ$47</definedName>
  </definedNames>
  <calcPr calcId="162913"/>
</workbook>
</file>

<file path=xl/calcChain.xml><?xml version="1.0" encoding="utf-8"?>
<calcChain xmlns="http://schemas.openxmlformats.org/spreadsheetml/2006/main">
  <c r="Q328" i="6" l="1"/>
  <c r="P328" i="6"/>
  <c r="N328" i="6"/>
  <c r="M328" i="6"/>
  <c r="L328" i="6"/>
  <c r="K328" i="6"/>
  <c r="M327" i="6"/>
  <c r="J327" i="6"/>
  <c r="I327" i="6"/>
  <c r="H327" i="6"/>
  <c r="Q327" i="6" s="1"/>
  <c r="G327" i="6"/>
  <c r="H326" i="6"/>
  <c r="G326" i="6"/>
  <c r="M325" i="6"/>
  <c r="M324" i="6"/>
  <c r="Q323" i="6"/>
  <c r="J323" i="6"/>
  <c r="I323" i="6"/>
  <c r="J322" i="6"/>
  <c r="H322" i="6"/>
  <c r="Q322" i="6" s="1"/>
  <c r="G322" i="6"/>
  <c r="G321" i="6" s="1"/>
  <c r="H321" i="6"/>
  <c r="Q320" i="6"/>
  <c r="P320" i="6"/>
  <c r="N320" i="6"/>
  <c r="M320" i="6"/>
  <c r="L320" i="6"/>
  <c r="K320" i="6"/>
  <c r="P319" i="6"/>
  <c r="K319" i="6"/>
  <c r="J319" i="6"/>
  <c r="N319" i="6" s="1"/>
  <c r="I319" i="6"/>
  <c r="H319" i="6"/>
  <c r="G319" i="6"/>
  <c r="G318" i="6" s="1"/>
  <c r="J318" i="6"/>
  <c r="I318" i="6"/>
  <c r="N318" i="6" s="1"/>
  <c r="M315" i="6"/>
  <c r="M314" i="6"/>
  <c r="M313" i="6"/>
  <c r="Q312" i="6"/>
  <c r="K312" i="6"/>
  <c r="J312" i="6"/>
  <c r="I312" i="6"/>
  <c r="L312" i="6" s="1"/>
  <c r="L311" i="6"/>
  <c r="I311" i="6"/>
  <c r="K311" i="6" s="1"/>
  <c r="H311" i="6"/>
  <c r="H310" i="6" s="1"/>
  <c r="G311" i="6"/>
  <c r="G310" i="6" s="1"/>
  <c r="G309" i="6" s="1"/>
  <c r="G308" i="6" s="1"/>
  <c r="I310" i="6"/>
  <c r="L310" i="6" s="1"/>
  <c r="R306" i="6"/>
  <c r="Q306" i="6"/>
  <c r="O306" i="6"/>
  <c r="M306" i="6"/>
  <c r="K306" i="6"/>
  <c r="R305" i="6"/>
  <c r="O305" i="6"/>
  <c r="M305" i="6"/>
  <c r="K305" i="6"/>
  <c r="G305" i="6"/>
  <c r="Q305" i="6" s="1"/>
  <c r="R303" i="6"/>
  <c r="Q303" i="6"/>
  <c r="P303" i="6"/>
  <c r="O303" i="6"/>
  <c r="N303" i="6"/>
  <c r="M303" i="6"/>
  <c r="L303" i="6"/>
  <c r="K303" i="6"/>
  <c r="O302" i="6"/>
  <c r="L302" i="6"/>
  <c r="J302" i="6"/>
  <c r="N302" i="6" s="1"/>
  <c r="I302" i="6"/>
  <c r="H302" i="6"/>
  <c r="G302" i="6"/>
  <c r="G301" i="6" s="1"/>
  <c r="G300" i="6" s="1"/>
  <c r="J301" i="6"/>
  <c r="I301" i="6"/>
  <c r="M301" i="6" s="1"/>
  <c r="H301" i="6"/>
  <c r="J300" i="6"/>
  <c r="J299" i="6" s="1"/>
  <c r="G299" i="6"/>
  <c r="G298" i="6"/>
  <c r="G297" i="6" s="1"/>
  <c r="Q296" i="6"/>
  <c r="P296" i="6"/>
  <c r="N296" i="6"/>
  <c r="M296" i="6"/>
  <c r="L296" i="6"/>
  <c r="K296" i="6"/>
  <c r="K295" i="6"/>
  <c r="J295" i="6"/>
  <c r="I295" i="6"/>
  <c r="L295" i="6" s="1"/>
  <c r="H295" i="6"/>
  <c r="G295" i="6"/>
  <c r="G294" i="6" s="1"/>
  <c r="G293" i="6" s="1"/>
  <c r="G292" i="6" s="1"/>
  <c r="G291" i="6" s="1"/>
  <c r="G290" i="6" s="1"/>
  <c r="J294" i="6"/>
  <c r="I294" i="6"/>
  <c r="H294" i="6"/>
  <c r="H293" i="6"/>
  <c r="H292" i="6" s="1"/>
  <c r="Q289" i="6"/>
  <c r="P289" i="6"/>
  <c r="N289" i="6"/>
  <c r="M289" i="6"/>
  <c r="L289" i="6"/>
  <c r="K289" i="6"/>
  <c r="Q288" i="6"/>
  <c r="P288" i="6"/>
  <c r="K288" i="6"/>
  <c r="J288" i="6"/>
  <c r="N288" i="6" s="1"/>
  <c r="I288" i="6"/>
  <c r="H288" i="6"/>
  <c r="H287" i="6" s="1"/>
  <c r="G288" i="6"/>
  <c r="P287" i="6"/>
  <c r="N287" i="6"/>
  <c r="K287" i="6"/>
  <c r="J287" i="6"/>
  <c r="I287" i="6"/>
  <c r="L287" i="6" s="1"/>
  <c r="G287" i="6"/>
  <c r="R286" i="6"/>
  <c r="Q286" i="6"/>
  <c r="P286" i="6"/>
  <c r="O286" i="6"/>
  <c r="N286" i="6"/>
  <c r="M286" i="6"/>
  <c r="L286" i="6"/>
  <c r="K286" i="6"/>
  <c r="J285" i="6"/>
  <c r="I285" i="6"/>
  <c r="M285" i="6" s="1"/>
  <c r="H285" i="6"/>
  <c r="G285" i="6"/>
  <c r="J284" i="6"/>
  <c r="N284" i="6" s="1"/>
  <c r="I284" i="6"/>
  <c r="G284" i="6"/>
  <c r="Q283" i="6"/>
  <c r="P283" i="6"/>
  <c r="N283" i="6"/>
  <c r="M283" i="6"/>
  <c r="L283" i="6"/>
  <c r="K283" i="6"/>
  <c r="K282" i="6"/>
  <c r="J282" i="6"/>
  <c r="N282" i="6" s="1"/>
  <c r="I282" i="6"/>
  <c r="I281" i="6" s="1"/>
  <c r="H282" i="6"/>
  <c r="H281" i="6" s="1"/>
  <c r="G282" i="6"/>
  <c r="G281" i="6" s="1"/>
  <c r="G280" i="6" s="1"/>
  <c r="G279" i="6" s="1"/>
  <c r="K281" i="6"/>
  <c r="J281" i="6"/>
  <c r="P281" i="6" s="1"/>
  <c r="M278" i="6"/>
  <c r="M277" i="6"/>
  <c r="M276" i="6"/>
  <c r="M275" i="6"/>
  <c r="R274" i="6"/>
  <c r="Q274" i="6"/>
  <c r="J274" i="6"/>
  <c r="N274" i="6" s="1"/>
  <c r="I274" i="6"/>
  <c r="I273" i="6" s="1"/>
  <c r="H273" i="6"/>
  <c r="G273" i="6"/>
  <c r="G272" i="6"/>
  <c r="R271" i="6"/>
  <c r="Q271" i="6"/>
  <c r="P271" i="6"/>
  <c r="O271" i="6"/>
  <c r="N271" i="6"/>
  <c r="M271" i="6"/>
  <c r="L271" i="6"/>
  <c r="K271" i="6"/>
  <c r="K270" i="6"/>
  <c r="J270" i="6"/>
  <c r="N270" i="6" s="1"/>
  <c r="I270" i="6"/>
  <c r="M270" i="6" s="1"/>
  <c r="H270" i="6"/>
  <c r="P270" i="6" s="1"/>
  <c r="G270" i="6"/>
  <c r="G269" i="6" s="1"/>
  <c r="M269" i="6"/>
  <c r="J269" i="6"/>
  <c r="I269" i="6"/>
  <c r="L269" i="6" s="1"/>
  <c r="H269" i="6"/>
  <c r="Q269" i="6" s="1"/>
  <c r="Q264" i="6"/>
  <c r="P264" i="6"/>
  <c r="N264" i="6"/>
  <c r="M264" i="6"/>
  <c r="L264" i="6"/>
  <c r="K264" i="6"/>
  <c r="P263" i="6"/>
  <c r="K263" i="6"/>
  <c r="J263" i="6"/>
  <c r="N263" i="6" s="1"/>
  <c r="I263" i="6"/>
  <c r="H263" i="6"/>
  <c r="H262" i="6" s="1"/>
  <c r="G263" i="6"/>
  <c r="G262" i="6" s="1"/>
  <c r="I262" i="6"/>
  <c r="Q261" i="6"/>
  <c r="P261" i="6"/>
  <c r="N261" i="6"/>
  <c r="M261" i="6"/>
  <c r="L261" i="6"/>
  <c r="K261" i="6"/>
  <c r="Q260" i="6"/>
  <c r="P260" i="6"/>
  <c r="K260" i="6"/>
  <c r="J260" i="6"/>
  <c r="N260" i="6" s="1"/>
  <c r="I260" i="6"/>
  <c r="M260" i="6" s="1"/>
  <c r="H260" i="6"/>
  <c r="L260" i="6" s="1"/>
  <c r="G260" i="6"/>
  <c r="J259" i="6"/>
  <c r="I259" i="6"/>
  <c r="N259" i="6" s="1"/>
  <c r="H259" i="6"/>
  <c r="G259" i="6"/>
  <c r="R258" i="6"/>
  <c r="Q258" i="6"/>
  <c r="P258" i="6"/>
  <c r="O258" i="6"/>
  <c r="N258" i="6"/>
  <c r="M258" i="6"/>
  <c r="L258" i="6"/>
  <c r="K258" i="6"/>
  <c r="K257" i="6"/>
  <c r="J257" i="6"/>
  <c r="N257" i="6" s="1"/>
  <c r="I257" i="6"/>
  <c r="H257" i="6"/>
  <c r="P257" i="6" s="1"/>
  <c r="G257" i="6"/>
  <c r="O257" i="6" s="1"/>
  <c r="J256" i="6"/>
  <c r="I256" i="6"/>
  <c r="M256" i="6" s="1"/>
  <c r="H256" i="6"/>
  <c r="I255" i="6"/>
  <c r="M251" i="6"/>
  <c r="M250" i="6"/>
  <c r="M249" i="6"/>
  <c r="M248" i="6"/>
  <c r="M247" i="6"/>
  <c r="M246" i="6"/>
  <c r="R245" i="6"/>
  <c r="Q245" i="6"/>
  <c r="P245" i="6"/>
  <c r="O245" i="6"/>
  <c r="L245" i="6"/>
  <c r="K245" i="6"/>
  <c r="J245" i="6"/>
  <c r="N245" i="6" s="1"/>
  <c r="I245" i="6"/>
  <c r="I244" i="6" s="1"/>
  <c r="R244" i="6"/>
  <c r="J244" i="6"/>
  <c r="H244" i="6"/>
  <c r="Q244" i="6" s="1"/>
  <c r="G244" i="6"/>
  <c r="H243" i="6"/>
  <c r="H241" i="6" s="1"/>
  <c r="G243" i="6"/>
  <c r="G241" i="6" s="1"/>
  <c r="G240" i="6" s="1"/>
  <c r="G239" i="6" s="1"/>
  <c r="M238" i="6"/>
  <c r="M237" i="6"/>
  <c r="M236" i="6"/>
  <c r="Q235" i="6"/>
  <c r="J235" i="6"/>
  <c r="P235" i="6" s="1"/>
  <c r="I235" i="6"/>
  <c r="K235" i="6" s="1"/>
  <c r="J234" i="6"/>
  <c r="H234" i="6"/>
  <c r="Q234" i="6" s="1"/>
  <c r="G234" i="6"/>
  <c r="H233" i="6"/>
  <c r="Q233" i="6" s="1"/>
  <c r="G233" i="6"/>
  <c r="Q232" i="6"/>
  <c r="P232" i="6"/>
  <c r="N232" i="6"/>
  <c r="M232" i="6"/>
  <c r="L232" i="6"/>
  <c r="K232" i="6"/>
  <c r="K231" i="6"/>
  <c r="J231" i="6"/>
  <c r="P231" i="6" s="1"/>
  <c r="I231" i="6"/>
  <c r="H231" i="6"/>
  <c r="G231" i="6"/>
  <c r="G230" i="6" s="1"/>
  <c r="I230" i="6"/>
  <c r="H230" i="6"/>
  <c r="Q229" i="6"/>
  <c r="P229" i="6"/>
  <c r="N229" i="6"/>
  <c r="M229" i="6"/>
  <c r="L229" i="6"/>
  <c r="K229" i="6"/>
  <c r="K228" i="6"/>
  <c r="J228" i="6"/>
  <c r="N228" i="6" s="1"/>
  <c r="I228" i="6"/>
  <c r="H228" i="6"/>
  <c r="H227" i="6" s="1"/>
  <c r="G228" i="6"/>
  <c r="G227" i="6" s="1"/>
  <c r="K227" i="6"/>
  <c r="J227" i="6"/>
  <c r="P227" i="6" s="1"/>
  <c r="I227" i="6"/>
  <c r="R226" i="6"/>
  <c r="Q226" i="6"/>
  <c r="P226" i="6"/>
  <c r="O226" i="6"/>
  <c r="N226" i="6"/>
  <c r="M226" i="6"/>
  <c r="L226" i="6"/>
  <c r="K226" i="6"/>
  <c r="Q225" i="6"/>
  <c r="M225" i="6"/>
  <c r="L225" i="6"/>
  <c r="J225" i="6"/>
  <c r="I225" i="6"/>
  <c r="H225" i="6"/>
  <c r="G225" i="6"/>
  <c r="J224" i="6"/>
  <c r="N224" i="6" s="1"/>
  <c r="I224" i="6"/>
  <c r="G224" i="6"/>
  <c r="R223" i="6"/>
  <c r="Q223" i="6"/>
  <c r="P223" i="6"/>
  <c r="O223" i="6"/>
  <c r="N223" i="6"/>
  <c r="M223" i="6"/>
  <c r="L223" i="6"/>
  <c r="K223" i="6"/>
  <c r="K222" i="6"/>
  <c r="J222" i="6"/>
  <c r="N222" i="6" s="1"/>
  <c r="I222" i="6"/>
  <c r="H222" i="6"/>
  <c r="P222" i="6" s="1"/>
  <c r="G222" i="6"/>
  <c r="G221" i="6" s="1"/>
  <c r="M221" i="6"/>
  <c r="J221" i="6"/>
  <c r="I221" i="6"/>
  <c r="L221" i="6" s="1"/>
  <c r="H221" i="6"/>
  <c r="Q221" i="6" s="1"/>
  <c r="M217" i="6"/>
  <c r="M216" i="6"/>
  <c r="M215" i="6"/>
  <c r="M214" i="6"/>
  <c r="R213" i="6"/>
  <c r="Q213" i="6"/>
  <c r="P213" i="6"/>
  <c r="M213" i="6"/>
  <c r="L213" i="6"/>
  <c r="J213" i="6"/>
  <c r="I213" i="6"/>
  <c r="H212" i="6"/>
  <c r="G212" i="6"/>
  <c r="G211" i="6" s="1"/>
  <c r="Q210" i="6"/>
  <c r="P210" i="6"/>
  <c r="N210" i="6"/>
  <c r="M210" i="6"/>
  <c r="L210" i="6"/>
  <c r="K210" i="6"/>
  <c r="P209" i="6"/>
  <c r="N209" i="6"/>
  <c r="K209" i="6"/>
  <c r="J209" i="6"/>
  <c r="I209" i="6"/>
  <c r="H209" i="6"/>
  <c r="H208" i="6" s="1"/>
  <c r="G209" i="6"/>
  <c r="G208" i="6" s="1"/>
  <c r="J208" i="6"/>
  <c r="P208" i="6" s="1"/>
  <c r="I208" i="6"/>
  <c r="Q207" i="6"/>
  <c r="P207" i="6"/>
  <c r="N207" i="6"/>
  <c r="M207" i="6"/>
  <c r="L207" i="6"/>
  <c r="K207" i="6"/>
  <c r="K206" i="6"/>
  <c r="J206" i="6"/>
  <c r="N206" i="6" s="1"/>
  <c r="I206" i="6"/>
  <c r="M206" i="6" s="1"/>
  <c r="H206" i="6"/>
  <c r="H205" i="6" s="1"/>
  <c r="G206" i="6"/>
  <c r="G205" i="6" s="1"/>
  <c r="K205" i="6"/>
  <c r="J205" i="6"/>
  <c r="P205" i="6" s="1"/>
  <c r="I205" i="6"/>
  <c r="M204" i="6"/>
  <c r="M203" i="6"/>
  <c r="R202" i="6"/>
  <c r="Q202" i="6"/>
  <c r="N202" i="6"/>
  <c r="M202" i="6"/>
  <c r="J202" i="6"/>
  <c r="I202" i="6"/>
  <c r="I201" i="6"/>
  <c r="L201" i="6" s="1"/>
  <c r="H201" i="6"/>
  <c r="G201" i="6"/>
  <c r="I200" i="6"/>
  <c r="G200" i="6"/>
  <c r="Q197" i="6"/>
  <c r="P197" i="6"/>
  <c r="N197" i="6"/>
  <c r="M197" i="6"/>
  <c r="L197" i="6"/>
  <c r="K197" i="6"/>
  <c r="J196" i="6"/>
  <c r="I196" i="6"/>
  <c r="H196" i="6"/>
  <c r="Q196" i="6" s="1"/>
  <c r="G196" i="6"/>
  <c r="I195" i="6"/>
  <c r="H195" i="6"/>
  <c r="G195" i="6"/>
  <c r="G194" i="6" s="1"/>
  <c r="G193" i="6" s="1"/>
  <c r="H194" i="6"/>
  <c r="H193" i="6" s="1"/>
  <c r="R190" i="6"/>
  <c r="Q190" i="6"/>
  <c r="O190" i="6"/>
  <c r="M190" i="6"/>
  <c r="K190" i="6"/>
  <c r="O189" i="6"/>
  <c r="M189" i="6"/>
  <c r="K189" i="6"/>
  <c r="G189" i="6"/>
  <c r="R189" i="6" s="1"/>
  <c r="M188" i="6"/>
  <c r="M187" i="6"/>
  <c r="M186" i="6"/>
  <c r="M185" i="6"/>
  <c r="M184" i="6"/>
  <c r="R183" i="6"/>
  <c r="Q183" i="6"/>
  <c r="P183" i="6"/>
  <c r="O183" i="6"/>
  <c r="L183" i="6"/>
  <c r="K183" i="6"/>
  <c r="J183" i="6"/>
  <c r="N183" i="6" s="1"/>
  <c r="I183" i="6"/>
  <c r="R182" i="6"/>
  <c r="K182" i="6"/>
  <c r="J182" i="6"/>
  <c r="I182" i="6"/>
  <c r="L182" i="6" s="1"/>
  <c r="H182" i="6"/>
  <c r="G182" i="6"/>
  <c r="K181" i="6"/>
  <c r="I181" i="6"/>
  <c r="H181" i="6"/>
  <c r="L181" i="6" s="1"/>
  <c r="G181" i="6"/>
  <c r="R180" i="6"/>
  <c r="Q180" i="6"/>
  <c r="P180" i="6"/>
  <c r="O180" i="6"/>
  <c r="N180" i="6"/>
  <c r="M180" i="6"/>
  <c r="L180" i="6"/>
  <c r="K180" i="6"/>
  <c r="K179" i="6"/>
  <c r="J179" i="6"/>
  <c r="N179" i="6" s="1"/>
  <c r="I179" i="6"/>
  <c r="M179" i="6" s="1"/>
  <c r="H179" i="6"/>
  <c r="P179" i="6" s="1"/>
  <c r="G179" i="6"/>
  <c r="G178" i="6" s="1"/>
  <c r="G177" i="6" s="1"/>
  <c r="G176" i="6" s="1"/>
  <c r="G175" i="6" s="1"/>
  <c r="L178" i="6"/>
  <c r="J178" i="6"/>
  <c r="I178" i="6"/>
  <c r="H178" i="6"/>
  <c r="I177" i="6"/>
  <c r="R174" i="6"/>
  <c r="Q174" i="6"/>
  <c r="P174" i="6"/>
  <c r="O174" i="6"/>
  <c r="N174" i="6"/>
  <c r="M174" i="6"/>
  <c r="L174" i="6"/>
  <c r="K174" i="6"/>
  <c r="R173" i="6"/>
  <c r="Q173" i="6"/>
  <c r="J173" i="6"/>
  <c r="I173" i="6"/>
  <c r="M173" i="6" s="1"/>
  <c r="H173" i="6"/>
  <c r="G173" i="6"/>
  <c r="R172" i="6"/>
  <c r="J172" i="6"/>
  <c r="H172" i="6"/>
  <c r="Q172" i="6" s="1"/>
  <c r="G172" i="6"/>
  <c r="H171" i="6"/>
  <c r="G171" i="6"/>
  <c r="G170" i="6" s="1"/>
  <c r="G169" i="6" s="1"/>
  <c r="H170" i="6"/>
  <c r="Q168" i="6"/>
  <c r="P168" i="6"/>
  <c r="N168" i="6"/>
  <c r="M168" i="6"/>
  <c r="L168" i="6"/>
  <c r="K168" i="6"/>
  <c r="P167" i="6"/>
  <c r="K167" i="6"/>
  <c r="J167" i="6"/>
  <c r="N167" i="6" s="1"/>
  <c r="I167" i="6"/>
  <c r="I166" i="6" s="1"/>
  <c r="H167" i="6"/>
  <c r="G167" i="6"/>
  <c r="G166" i="6" s="1"/>
  <c r="G165" i="6" s="1"/>
  <c r="G164" i="6" s="1"/>
  <c r="G163" i="6" s="1"/>
  <c r="J166" i="6"/>
  <c r="Q162" i="6"/>
  <c r="P162" i="6"/>
  <c r="N162" i="6"/>
  <c r="M162" i="6"/>
  <c r="L162" i="6"/>
  <c r="K162" i="6"/>
  <c r="J161" i="6"/>
  <c r="I161" i="6"/>
  <c r="I160" i="6" s="1"/>
  <c r="H161" i="6"/>
  <c r="Q161" i="6" s="1"/>
  <c r="G161" i="6"/>
  <c r="G160" i="6" s="1"/>
  <c r="H160" i="6"/>
  <c r="Q160" i="6" s="1"/>
  <c r="R159" i="6"/>
  <c r="Q159" i="6"/>
  <c r="P159" i="6"/>
  <c r="O159" i="6"/>
  <c r="N159" i="6"/>
  <c r="M159" i="6"/>
  <c r="L159" i="6"/>
  <c r="K159" i="6"/>
  <c r="N158" i="6"/>
  <c r="K158" i="6"/>
  <c r="J158" i="6"/>
  <c r="I158" i="6"/>
  <c r="H158" i="6"/>
  <c r="G158" i="6"/>
  <c r="R158" i="6" s="1"/>
  <c r="L157" i="6"/>
  <c r="I157" i="6"/>
  <c r="H157" i="6"/>
  <c r="K157" i="6" s="1"/>
  <c r="G157" i="6"/>
  <c r="G156" i="6" s="1"/>
  <c r="G155" i="6" s="1"/>
  <c r="G154" i="6" s="1"/>
  <c r="G153" i="6" s="1"/>
  <c r="R152" i="6"/>
  <c r="Q152" i="6"/>
  <c r="P152" i="6"/>
  <c r="O152" i="6"/>
  <c r="N152" i="6"/>
  <c r="M152" i="6"/>
  <c r="L152" i="6"/>
  <c r="K152" i="6"/>
  <c r="R151" i="6"/>
  <c r="Q151" i="6"/>
  <c r="J151" i="6"/>
  <c r="N151" i="6" s="1"/>
  <c r="I151" i="6"/>
  <c r="I148" i="6" s="1"/>
  <c r="H151" i="6"/>
  <c r="G151" i="6"/>
  <c r="R150" i="6"/>
  <c r="Q150" i="6"/>
  <c r="P150" i="6"/>
  <c r="O150" i="6"/>
  <c r="N150" i="6"/>
  <c r="M150" i="6"/>
  <c r="L150" i="6"/>
  <c r="K150" i="6"/>
  <c r="K149" i="6"/>
  <c r="J149" i="6"/>
  <c r="N149" i="6" s="1"/>
  <c r="I149" i="6"/>
  <c r="M149" i="6" s="1"/>
  <c r="H149" i="6"/>
  <c r="P149" i="6" s="1"/>
  <c r="G149" i="6"/>
  <c r="O149" i="6" s="1"/>
  <c r="R147" i="6"/>
  <c r="Q147" i="6"/>
  <c r="P147" i="6"/>
  <c r="O147" i="6"/>
  <c r="N147" i="6"/>
  <c r="M147" i="6"/>
  <c r="L147" i="6"/>
  <c r="K147" i="6"/>
  <c r="R146" i="6"/>
  <c r="N146" i="6"/>
  <c r="K146" i="6"/>
  <c r="J146" i="6"/>
  <c r="O146" i="6" s="1"/>
  <c r="I146" i="6"/>
  <c r="H146" i="6"/>
  <c r="Q146" i="6" s="1"/>
  <c r="G146" i="6"/>
  <c r="G143" i="6" s="1"/>
  <c r="R145" i="6"/>
  <c r="Q145" i="6"/>
  <c r="P145" i="6"/>
  <c r="O145" i="6"/>
  <c r="N145" i="6"/>
  <c r="M145" i="6"/>
  <c r="L145" i="6"/>
  <c r="K145" i="6"/>
  <c r="P144" i="6"/>
  <c r="J144" i="6"/>
  <c r="I144" i="6"/>
  <c r="H144" i="6"/>
  <c r="R144" i="6" s="1"/>
  <c r="G144" i="6"/>
  <c r="I143" i="6"/>
  <c r="M139" i="6"/>
  <c r="M138" i="6"/>
  <c r="M137" i="6"/>
  <c r="M136" i="6"/>
  <c r="R135" i="6"/>
  <c r="Q135" i="6"/>
  <c r="M135" i="6"/>
  <c r="K135" i="6"/>
  <c r="J135" i="6"/>
  <c r="P135" i="6" s="1"/>
  <c r="I135" i="6"/>
  <c r="L135" i="6" s="1"/>
  <c r="J134" i="6"/>
  <c r="N134" i="6" s="1"/>
  <c r="I134" i="6"/>
  <c r="H134" i="6"/>
  <c r="G134" i="6"/>
  <c r="I133" i="6"/>
  <c r="G133" i="6"/>
  <c r="G132" i="6"/>
  <c r="G131" i="6" s="1"/>
  <c r="G130" i="6" s="1"/>
  <c r="R127" i="6"/>
  <c r="Q127" i="6"/>
  <c r="P127" i="6"/>
  <c r="O127" i="6"/>
  <c r="M127" i="6"/>
  <c r="J127" i="6"/>
  <c r="N127" i="6" s="1"/>
  <c r="I127" i="6"/>
  <c r="J126" i="6"/>
  <c r="P126" i="6" s="1"/>
  <c r="H126" i="6"/>
  <c r="G126" i="6"/>
  <c r="R123" i="6"/>
  <c r="Q123" i="6"/>
  <c r="P123" i="6"/>
  <c r="O123" i="6"/>
  <c r="M123" i="6"/>
  <c r="J123" i="6"/>
  <c r="N123" i="6" s="1"/>
  <c r="I123" i="6"/>
  <c r="J122" i="6"/>
  <c r="P122" i="6" s="1"/>
  <c r="H122" i="6"/>
  <c r="G122" i="6"/>
  <c r="G121" i="6"/>
  <c r="R118" i="6"/>
  <c r="Q118" i="6"/>
  <c r="L118" i="6"/>
  <c r="J118" i="6"/>
  <c r="I118" i="6"/>
  <c r="K118" i="6" s="1"/>
  <c r="Q117" i="6"/>
  <c r="I117" i="6"/>
  <c r="H117" i="6"/>
  <c r="R117" i="6" s="1"/>
  <c r="G117" i="6"/>
  <c r="R114" i="6"/>
  <c r="Q114" i="6"/>
  <c r="L114" i="6"/>
  <c r="J114" i="6"/>
  <c r="I114" i="6"/>
  <c r="K114" i="6" s="1"/>
  <c r="Q113" i="6"/>
  <c r="I113" i="6"/>
  <c r="H113" i="6"/>
  <c r="R113" i="6" s="1"/>
  <c r="G113" i="6"/>
  <c r="G112" i="6" s="1"/>
  <c r="R112" i="6" s="1"/>
  <c r="H112" i="6"/>
  <c r="Q112" i="6" s="1"/>
  <c r="G111" i="6"/>
  <c r="G110" i="6" s="1"/>
  <c r="G109" i="6" s="1"/>
  <c r="R103" i="6"/>
  <c r="Q103" i="6"/>
  <c r="O103" i="6"/>
  <c r="K103" i="6"/>
  <c r="J103" i="6"/>
  <c r="N103" i="6" s="1"/>
  <c r="I103" i="6"/>
  <c r="I102" i="6" s="1"/>
  <c r="R102" i="6"/>
  <c r="J102" i="6"/>
  <c r="H102" i="6"/>
  <c r="Q102" i="6" s="1"/>
  <c r="G102" i="6"/>
  <c r="G101" i="6"/>
  <c r="G100" i="6" s="1"/>
  <c r="G99" i="6"/>
  <c r="G98" i="6" s="1"/>
  <c r="G97" i="6" s="1"/>
  <c r="R96" i="6"/>
  <c r="Q96" i="6"/>
  <c r="P96" i="6"/>
  <c r="O96" i="6"/>
  <c r="N96" i="6"/>
  <c r="M96" i="6"/>
  <c r="L96" i="6"/>
  <c r="K96" i="6"/>
  <c r="K95" i="6"/>
  <c r="J95" i="6"/>
  <c r="N95" i="6" s="1"/>
  <c r="I95" i="6"/>
  <c r="M95" i="6" s="1"/>
  <c r="H95" i="6"/>
  <c r="P95" i="6" s="1"/>
  <c r="G95" i="6"/>
  <c r="G94" i="6" s="1"/>
  <c r="R94" i="6" s="1"/>
  <c r="J94" i="6"/>
  <c r="H94" i="6"/>
  <c r="G93" i="6"/>
  <c r="Q92" i="6"/>
  <c r="P92" i="6"/>
  <c r="N92" i="6"/>
  <c r="M92" i="6"/>
  <c r="L92" i="6"/>
  <c r="K92" i="6"/>
  <c r="P91" i="6"/>
  <c r="J91" i="6"/>
  <c r="N91" i="6" s="1"/>
  <c r="I91" i="6"/>
  <c r="L91" i="6" s="1"/>
  <c r="H91" i="6"/>
  <c r="Q91" i="6" s="1"/>
  <c r="G91" i="6"/>
  <c r="R90" i="6"/>
  <c r="Q90" i="6"/>
  <c r="P90" i="6"/>
  <c r="O90" i="6"/>
  <c r="N90" i="6"/>
  <c r="M90" i="6"/>
  <c r="L90" i="6"/>
  <c r="K90" i="6"/>
  <c r="K89" i="6"/>
  <c r="J89" i="6"/>
  <c r="N89" i="6" s="1"/>
  <c r="I89" i="6"/>
  <c r="M89" i="6" s="1"/>
  <c r="H89" i="6"/>
  <c r="G89" i="6"/>
  <c r="Q89" i="6" s="1"/>
  <c r="M88" i="6"/>
  <c r="M87" i="6"/>
  <c r="M86" i="6"/>
  <c r="M85" i="6"/>
  <c r="M84" i="6"/>
  <c r="M83" i="6"/>
  <c r="R82" i="6"/>
  <c r="Q82" i="6"/>
  <c r="L82" i="6"/>
  <c r="J82" i="6"/>
  <c r="P82" i="6" s="1"/>
  <c r="I82" i="6"/>
  <c r="K82" i="6" s="1"/>
  <c r="K81" i="6"/>
  <c r="I81" i="6"/>
  <c r="L81" i="6" s="1"/>
  <c r="H81" i="6"/>
  <c r="R81" i="6" s="1"/>
  <c r="G81" i="6"/>
  <c r="Q81" i="6" s="1"/>
  <c r="H80" i="6"/>
  <c r="R79" i="6"/>
  <c r="Q79" i="6"/>
  <c r="P79" i="6"/>
  <c r="O79" i="6"/>
  <c r="N79" i="6"/>
  <c r="M79" i="6"/>
  <c r="L79" i="6"/>
  <c r="K79" i="6"/>
  <c r="R78" i="6"/>
  <c r="L78" i="6"/>
  <c r="J78" i="6"/>
  <c r="I78" i="6"/>
  <c r="H78" i="6"/>
  <c r="G78" i="6"/>
  <c r="I77" i="6"/>
  <c r="G77" i="6"/>
  <c r="M76" i="6"/>
  <c r="M75" i="6"/>
  <c r="M74" i="6"/>
  <c r="M73" i="6"/>
  <c r="R72" i="6"/>
  <c r="Q72" i="6"/>
  <c r="L72" i="6"/>
  <c r="J72" i="6"/>
  <c r="I72" i="6"/>
  <c r="K72" i="6" s="1"/>
  <c r="Q71" i="6"/>
  <c r="I71" i="6"/>
  <c r="H71" i="6"/>
  <c r="R71" i="6" s="1"/>
  <c r="G71" i="6"/>
  <c r="G70" i="6" s="1"/>
  <c r="H70" i="6"/>
  <c r="R66" i="6"/>
  <c r="Q66" i="6"/>
  <c r="P66" i="6"/>
  <c r="O66" i="6"/>
  <c r="N66" i="6"/>
  <c r="M66" i="6"/>
  <c r="L66" i="6"/>
  <c r="K66" i="6"/>
  <c r="M65" i="6"/>
  <c r="K65" i="6"/>
  <c r="J65" i="6"/>
  <c r="O65" i="6" s="1"/>
  <c r="I65" i="6"/>
  <c r="H65" i="6"/>
  <c r="G65" i="6"/>
  <c r="R65" i="6" s="1"/>
  <c r="J64" i="6"/>
  <c r="H64" i="6"/>
  <c r="H63" i="6" s="1"/>
  <c r="R60" i="6"/>
  <c r="Q60" i="6"/>
  <c r="P60" i="6"/>
  <c r="O60" i="6"/>
  <c r="N60" i="6"/>
  <c r="M60" i="6"/>
  <c r="L60" i="6"/>
  <c r="K60" i="6"/>
  <c r="P59" i="6"/>
  <c r="K59" i="6"/>
  <c r="J59" i="6"/>
  <c r="N59" i="6" s="1"/>
  <c r="I59" i="6"/>
  <c r="M59" i="6" s="1"/>
  <c r="H59" i="6"/>
  <c r="G59" i="6"/>
  <c r="G58" i="6" s="1"/>
  <c r="G57" i="6" s="1"/>
  <c r="J58" i="6"/>
  <c r="I58" i="6"/>
  <c r="M58" i="6" s="1"/>
  <c r="H58" i="6"/>
  <c r="H57" i="6" s="1"/>
  <c r="J57" i="6"/>
  <c r="P57" i="6" s="1"/>
  <c r="H56" i="6"/>
  <c r="Q54" i="6"/>
  <c r="P54" i="6"/>
  <c r="N54" i="6"/>
  <c r="M54" i="6"/>
  <c r="L54" i="6"/>
  <c r="K54" i="6"/>
  <c r="J53" i="6"/>
  <c r="P53" i="6" s="1"/>
  <c r="I53" i="6"/>
  <c r="L53" i="6" s="1"/>
  <c r="H53" i="6"/>
  <c r="Q53" i="6" s="1"/>
  <c r="G53" i="6"/>
  <c r="G52" i="6" s="1"/>
  <c r="G51" i="6" s="1"/>
  <c r="J52" i="6"/>
  <c r="N52" i="6" s="1"/>
  <c r="I52" i="6"/>
  <c r="H52" i="6"/>
  <c r="Q52" i="6" s="1"/>
  <c r="I51" i="6"/>
  <c r="I50" i="6" s="1"/>
  <c r="I49" i="6" s="1"/>
  <c r="Q46" i="6"/>
  <c r="L46" i="6"/>
  <c r="J46" i="6"/>
  <c r="P46" i="6" s="1"/>
  <c r="I46" i="6"/>
  <c r="K46" i="6" s="1"/>
  <c r="I45" i="6"/>
  <c r="L45" i="6" s="1"/>
  <c r="H45" i="6"/>
  <c r="Q45" i="6" s="1"/>
  <c r="G45" i="6"/>
  <c r="G44" i="6" s="1"/>
  <c r="Q44" i="6"/>
  <c r="H44" i="6"/>
  <c r="M43" i="6"/>
  <c r="M42" i="6"/>
  <c r="M41" i="6"/>
  <c r="M40" i="6"/>
  <c r="M39" i="6"/>
  <c r="M38" i="6"/>
  <c r="M37" i="6"/>
  <c r="R36" i="6"/>
  <c r="Q36" i="6"/>
  <c r="L36" i="6"/>
  <c r="J36" i="6"/>
  <c r="I36" i="6"/>
  <c r="K36" i="6" s="1"/>
  <c r="L35" i="6"/>
  <c r="K35" i="6"/>
  <c r="I35" i="6"/>
  <c r="H35" i="6"/>
  <c r="G35" i="6"/>
  <c r="Q35" i="6" s="1"/>
  <c r="M34" i="6"/>
  <c r="M33" i="6"/>
  <c r="M32" i="6"/>
  <c r="M31" i="6"/>
  <c r="M30" i="6"/>
  <c r="M29" i="6"/>
  <c r="M28" i="6"/>
  <c r="R27" i="6"/>
  <c r="Q27" i="6"/>
  <c r="P27" i="6"/>
  <c r="O27" i="6"/>
  <c r="J27" i="6"/>
  <c r="I27" i="6"/>
  <c r="L27" i="6" s="1"/>
  <c r="J26" i="6"/>
  <c r="H26" i="6"/>
  <c r="H25" i="6" s="1"/>
  <c r="G26" i="6"/>
  <c r="M21" i="6"/>
  <c r="M20" i="6"/>
  <c r="M19" i="6"/>
  <c r="M18" i="6"/>
  <c r="R17" i="6"/>
  <c r="Q17" i="6"/>
  <c r="J17" i="6"/>
  <c r="P17" i="6" s="1"/>
  <c r="I17" i="6"/>
  <c r="L17" i="6" s="1"/>
  <c r="H16" i="6"/>
  <c r="H15" i="6" s="1"/>
  <c r="G16" i="6"/>
  <c r="G15" i="6" s="1"/>
  <c r="M14" i="6"/>
  <c r="M13" i="6"/>
  <c r="M12" i="6"/>
  <c r="R11" i="6"/>
  <c r="Q11" i="6"/>
  <c r="J11" i="6"/>
  <c r="P11" i="6" s="1"/>
  <c r="I11" i="6"/>
  <c r="L11" i="6" s="1"/>
  <c r="H10" i="6"/>
  <c r="H9" i="6" s="1"/>
  <c r="G10" i="6"/>
  <c r="G9" i="6" s="1"/>
  <c r="G8" i="6" s="1"/>
  <c r="G7" i="6" s="1"/>
  <c r="G6" i="6" s="1"/>
  <c r="AT46" i="5"/>
  <c r="AS46" i="5"/>
  <c r="AR46" i="5"/>
  <c r="AP46" i="5"/>
  <c r="AO46" i="5"/>
  <c r="AN46" i="5"/>
  <c r="AM46" i="5"/>
  <c r="AL46" i="5"/>
  <c r="AK46" i="5"/>
  <c r="AJ46" i="5"/>
  <c r="AI46" i="5"/>
  <c r="AH46" i="5"/>
  <c r="AG46" i="5"/>
  <c r="AF46" i="5"/>
  <c r="AB46" i="5"/>
  <c r="AP45" i="5"/>
  <c r="AO45" i="5"/>
  <c r="AN45" i="5"/>
  <c r="AM45" i="5"/>
  <c r="AL45" i="5"/>
  <c r="AK45" i="5"/>
  <c r="AJ45" i="5"/>
  <c r="AI45" i="5"/>
  <c r="AH45" i="5"/>
  <c r="AG45" i="5"/>
  <c r="AF45" i="5"/>
  <c r="AB45" i="5"/>
  <c r="G45" i="5"/>
  <c r="F45" i="5"/>
  <c r="E45" i="5"/>
  <c r="D45" i="5"/>
  <c r="AO44" i="5"/>
  <c r="AM44" i="5"/>
  <c r="AK44" i="5"/>
  <c r="AI44" i="5"/>
  <c r="AH44" i="5"/>
  <c r="AG44" i="5"/>
  <c r="AF44" i="5"/>
  <c r="AP43" i="5"/>
  <c r="AO43" i="5"/>
  <c r="AN43" i="5"/>
  <c r="AM43" i="5"/>
  <c r="AL43" i="5"/>
  <c r="AJ43" i="5"/>
  <c r="AH43" i="5"/>
  <c r="AF43" i="5"/>
  <c r="AT42" i="5"/>
  <c r="AS42" i="5"/>
  <c r="AR42" i="5"/>
  <c r="AO42" i="5"/>
  <c r="AE42" i="5"/>
  <c r="AJ42" i="5" s="1"/>
  <c r="AD42" i="5"/>
  <c r="AC42" i="5"/>
  <c r="AM42" i="5" s="1"/>
  <c r="AB42" i="5"/>
  <c r="AA42" i="5"/>
  <c r="AA47" i="5" s="1"/>
  <c r="Z42" i="5"/>
  <c r="Y42" i="5"/>
  <c r="X42" i="5"/>
  <c r="W42" i="5"/>
  <c r="W47" i="5" s="1"/>
  <c r="V42" i="5"/>
  <c r="U42" i="5"/>
  <c r="T42" i="5"/>
  <c r="S42" i="5"/>
  <c r="S47" i="5" s="1"/>
  <c r="R42" i="5"/>
  <c r="Q42" i="5"/>
  <c r="P42" i="5"/>
  <c r="O42" i="5"/>
  <c r="O47" i="5" s="1"/>
  <c r="N42" i="5"/>
  <c r="M42" i="5"/>
  <c r="L42" i="5"/>
  <c r="K42" i="5"/>
  <c r="K47" i="5" s="1"/>
  <c r="J42" i="5"/>
  <c r="I42" i="5"/>
  <c r="H42" i="5"/>
  <c r="G42" i="5"/>
  <c r="F42" i="5"/>
  <c r="E42" i="5"/>
  <c r="D42" i="5"/>
  <c r="AP41" i="5"/>
  <c r="AO41" i="5"/>
  <c r="AN41" i="5"/>
  <c r="AM41" i="5"/>
  <c r="AL41" i="5"/>
  <c r="AK41" i="5"/>
  <c r="AJ41" i="5"/>
  <c r="AI41" i="5"/>
  <c r="AH41" i="5"/>
  <c r="AG41" i="5"/>
  <c r="AF41" i="5"/>
  <c r="AT40" i="5"/>
  <c r="AS40" i="5"/>
  <c r="AR40" i="5"/>
  <c r="AF40" i="5"/>
  <c r="AE40" i="5"/>
  <c r="AD40" i="5"/>
  <c r="AC40" i="5"/>
  <c r="AM40" i="5" s="1"/>
  <c r="AB40" i="5"/>
  <c r="AA40" i="5"/>
  <c r="Z40" i="5"/>
  <c r="Y40" i="5"/>
  <c r="X40" i="5"/>
  <c r="W40" i="5"/>
  <c r="V40" i="5"/>
  <c r="AN40" i="5" s="1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AT39" i="5"/>
  <c r="AS39" i="5"/>
  <c r="AR39" i="5"/>
  <c r="AO39" i="5"/>
  <c r="AM39" i="5"/>
  <c r="AK39" i="5"/>
  <c r="AI39" i="5"/>
  <c r="AH39" i="5"/>
  <c r="AG39" i="5"/>
  <c r="AF39" i="5"/>
  <c r="AB39" i="5"/>
  <c r="AF38" i="5"/>
  <c r="AE38" i="5"/>
  <c r="AD38" i="5"/>
  <c r="AO38" i="5" s="1"/>
  <c r="AC38" i="5"/>
  <c r="AM38" i="5" s="1"/>
  <c r="AB38" i="5"/>
  <c r="M38" i="5"/>
  <c r="AP37" i="5"/>
  <c r="AO37" i="5"/>
  <c r="AN37" i="5"/>
  <c r="AM37" i="5"/>
  <c r="AL37" i="5"/>
  <c r="AK37" i="5"/>
  <c r="AJ37" i="5"/>
  <c r="AI37" i="5"/>
  <c r="AH37" i="5"/>
  <c r="AG37" i="5"/>
  <c r="AF37" i="5"/>
  <c r="AP36" i="5"/>
  <c r="AO36" i="5"/>
  <c r="AN36" i="5"/>
  <c r="AM36" i="5"/>
  <c r="AL36" i="5"/>
  <c r="AK36" i="5"/>
  <c r="AJ36" i="5"/>
  <c r="AI36" i="5"/>
  <c r="AH36" i="5"/>
  <c r="AG36" i="5"/>
  <c r="AF36" i="5"/>
  <c r="AB36" i="5"/>
  <c r="AP35" i="5"/>
  <c r="AO35" i="5"/>
  <c r="AN35" i="5"/>
  <c r="AM35" i="5"/>
  <c r="AL35" i="5"/>
  <c r="AK35" i="5"/>
  <c r="AJ35" i="5"/>
  <c r="AI35" i="5"/>
  <c r="AH35" i="5"/>
  <c r="AG35" i="5"/>
  <c r="AF35" i="5"/>
  <c r="F35" i="5"/>
  <c r="F34" i="5" s="1"/>
  <c r="AT34" i="5"/>
  <c r="AS34" i="5"/>
  <c r="AR34" i="5"/>
  <c r="AO34" i="5"/>
  <c r="AE34" i="5"/>
  <c r="AD34" i="5"/>
  <c r="AF34" i="5" s="1"/>
  <c r="AC34" i="5"/>
  <c r="AB34" i="5"/>
  <c r="AA34" i="5"/>
  <c r="Z34" i="5"/>
  <c r="Y34" i="5"/>
  <c r="X34" i="5"/>
  <c r="W34" i="5"/>
  <c r="V34" i="5"/>
  <c r="AJ34" i="5" s="1"/>
  <c r="U34" i="5"/>
  <c r="AL34" i="5" s="1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E34" i="5"/>
  <c r="D34" i="5"/>
  <c r="AT33" i="5"/>
  <c r="AS33" i="5"/>
  <c r="AR33" i="5"/>
  <c r="AP33" i="5"/>
  <c r="AO33" i="5"/>
  <c r="AN33" i="5"/>
  <c r="AM33" i="5"/>
  <c r="AL33" i="5"/>
  <c r="AK33" i="5"/>
  <c r="AJ33" i="5"/>
  <c r="AI33" i="5"/>
  <c r="AH33" i="5"/>
  <c r="AG33" i="5"/>
  <c r="AF33" i="5"/>
  <c r="AB33" i="5"/>
  <c r="AT32" i="5"/>
  <c r="AS32" i="5"/>
  <c r="AR32" i="5"/>
  <c r="AP32" i="5"/>
  <c r="AO32" i="5"/>
  <c r="AN32" i="5"/>
  <c r="AM32" i="5"/>
  <c r="AL32" i="5"/>
  <c r="AK32" i="5"/>
  <c r="AJ32" i="5"/>
  <c r="AI32" i="5"/>
  <c r="AH32" i="5"/>
  <c r="AG32" i="5"/>
  <c r="AF32" i="5"/>
  <c r="AB32" i="5"/>
  <c r="J32" i="5"/>
  <c r="I32" i="5"/>
  <c r="H32" i="5"/>
  <c r="G32" i="5"/>
  <c r="F32" i="5"/>
  <c r="E32" i="5"/>
  <c r="D32" i="5"/>
  <c r="AP31" i="5"/>
  <c r="AO31" i="5"/>
  <c r="AN31" i="5"/>
  <c r="AM31" i="5"/>
  <c r="AL31" i="5"/>
  <c r="AK31" i="5"/>
  <c r="AJ31" i="5"/>
  <c r="AI31" i="5"/>
  <c r="AH31" i="5"/>
  <c r="AG31" i="5"/>
  <c r="AF31" i="5"/>
  <c r="AT30" i="5"/>
  <c r="AS30" i="5"/>
  <c r="AR30" i="5"/>
  <c r="AO30" i="5"/>
  <c r="AE30" i="5"/>
  <c r="AJ30" i="5" s="1"/>
  <c r="AD30" i="5"/>
  <c r="AC30" i="5"/>
  <c r="AN30" i="5" s="1"/>
  <c r="AB30" i="5"/>
  <c r="AA30" i="5"/>
  <c r="Z30" i="5"/>
  <c r="Y30" i="5"/>
  <c r="X30" i="5"/>
  <c r="W30" i="5"/>
  <c r="V30" i="5"/>
  <c r="U30" i="5"/>
  <c r="T30" i="5"/>
  <c r="S30" i="5"/>
  <c r="R30" i="5"/>
  <c r="M30" i="5"/>
  <c r="L30" i="5"/>
  <c r="K30" i="5"/>
  <c r="AP29" i="5"/>
  <c r="AO29" i="5"/>
  <c r="AN29" i="5"/>
  <c r="AM29" i="5"/>
  <c r="AL29" i="5"/>
  <c r="AK29" i="5"/>
  <c r="AJ29" i="5"/>
  <c r="AI29" i="5"/>
  <c r="AH29" i="5"/>
  <c r="AG29" i="5"/>
  <c r="AF29" i="5"/>
  <c r="F29" i="5"/>
  <c r="AP28" i="5"/>
  <c r="AO28" i="5"/>
  <c r="AN28" i="5"/>
  <c r="AM28" i="5"/>
  <c r="AL28" i="5"/>
  <c r="AK28" i="5"/>
  <c r="AJ28" i="5"/>
  <c r="AI28" i="5"/>
  <c r="AH28" i="5"/>
  <c r="AG28" i="5"/>
  <c r="AF28" i="5"/>
  <c r="F28" i="5"/>
  <c r="AP27" i="5"/>
  <c r="AO27" i="5"/>
  <c r="AN27" i="5"/>
  <c r="AM27" i="5"/>
  <c r="AL27" i="5"/>
  <c r="AK27" i="5"/>
  <c r="AJ27" i="5"/>
  <c r="AI27" i="5"/>
  <c r="AH27" i="5"/>
  <c r="AG27" i="5"/>
  <c r="AF27" i="5"/>
  <c r="F27" i="5"/>
  <c r="AT26" i="5"/>
  <c r="AS26" i="5"/>
  <c r="AR26" i="5"/>
  <c r="AF26" i="5"/>
  <c r="AE26" i="5"/>
  <c r="AD26" i="5"/>
  <c r="AC26" i="5"/>
  <c r="AB26" i="5"/>
  <c r="AA26" i="5"/>
  <c r="Z26" i="5"/>
  <c r="Y26" i="5"/>
  <c r="X26" i="5"/>
  <c r="W26" i="5"/>
  <c r="V26" i="5"/>
  <c r="AN26" i="5" s="1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E26" i="5"/>
  <c r="D26" i="5"/>
  <c r="AT25" i="5"/>
  <c r="AS25" i="5"/>
  <c r="AR25" i="5"/>
  <c r="AP25" i="5"/>
  <c r="AO25" i="5"/>
  <c r="AN25" i="5"/>
  <c r="AM25" i="5"/>
  <c r="AL25" i="5"/>
  <c r="AK25" i="5"/>
  <c r="AJ25" i="5"/>
  <c r="AI25" i="5"/>
  <c r="AH25" i="5"/>
  <c r="AG25" i="5"/>
  <c r="AF25" i="5"/>
  <c r="AB25" i="5"/>
  <c r="F25" i="5"/>
  <c r="AP24" i="5"/>
  <c r="AO24" i="5"/>
  <c r="AN24" i="5"/>
  <c r="AM24" i="5"/>
  <c r="AL24" i="5"/>
  <c r="AJ24" i="5"/>
  <c r="AH24" i="5"/>
  <c r="F24" i="5"/>
  <c r="AP23" i="5"/>
  <c r="AO23" i="5"/>
  <c r="AN23" i="5"/>
  <c r="AM23" i="5"/>
  <c r="AL23" i="5"/>
  <c r="AK23" i="5"/>
  <c r="AJ23" i="5"/>
  <c r="AI23" i="5"/>
  <c r="AH23" i="5"/>
  <c r="AG23" i="5"/>
  <c r="AF23" i="5"/>
  <c r="F23" i="5"/>
  <c r="AP22" i="5"/>
  <c r="AO22" i="5"/>
  <c r="AN22" i="5"/>
  <c r="AM22" i="5"/>
  <c r="AL22" i="5"/>
  <c r="AK22" i="5"/>
  <c r="AJ22" i="5"/>
  <c r="AI22" i="5"/>
  <c r="AH22" i="5"/>
  <c r="AG22" i="5"/>
  <c r="AF22" i="5"/>
  <c r="AO21" i="5"/>
  <c r="AM21" i="5"/>
  <c r="AL21" i="5"/>
  <c r="AK21" i="5"/>
  <c r="AI21" i="5"/>
  <c r="AH21" i="5"/>
  <c r="AG21" i="5"/>
  <c r="AF21" i="5"/>
  <c r="AP20" i="5"/>
  <c r="AO20" i="5"/>
  <c r="AN20" i="5"/>
  <c r="AM20" i="5"/>
  <c r="AL20" i="5"/>
  <c r="AK20" i="5"/>
  <c r="AJ20" i="5"/>
  <c r="AI20" i="5"/>
  <c r="AH20" i="5"/>
  <c r="AG20" i="5"/>
  <c r="AF20" i="5"/>
  <c r="F20" i="5"/>
  <c r="AT19" i="5"/>
  <c r="AS19" i="5"/>
  <c r="AR19" i="5"/>
  <c r="AE19" i="5"/>
  <c r="AD19" i="5"/>
  <c r="AF19" i="5" s="1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E19" i="5"/>
  <c r="D19" i="5"/>
  <c r="AP18" i="5"/>
  <c r="AO18" i="5"/>
  <c r="AN18" i="5"/>
  <c r="AM18" i="5"/>
  <c r="AL18" i="5"/>
  <c r="AK18" i="5"/>
  <c r="AJ18" i="5"/>
  <c r="AI18" i="5"/>
  <c r="AH18" i="5"/>
  <c r="AG18" i="5"/>
  <c r="AF18" i="5"/>
  <c r="AP17" i="5"/>
  <c r="AO17" i="5"/>
  <c r="AN17" i="5"/>
  <c r="AM17" i="5"/>
  <c r="AL17" i="5"/>
  <c r="AK17" i="5"/>
  <c r="AJ17" i="5"/>
  <c r="AI17" i="5"/>
  <c r="AH17" i="5"/>
  <c r="AG17" i="5"/>
  <c r="AF17" i="5"/>
  <c r="AP16" i="5"/>
  <c r="AO16" i="5"/>
  <c r="AN16" i="5"/>
  <c r="AM16" i="5"/>
  <c r="AL16" i="5"/>
  <c r="AK16" i="5"/>
  <c r="AJ16" i="5"/>
  <c r="AI16" i="5"/>
  <c r="AH16" i="5"/>
  <c r="AG16" i="5"/>
  <c r="AF16" i="5"/>
  <c r="AB16" i="5"/>
  <c r="F16" i="5"/>
  <c r="AP15" i="5"/>
  <c r="AO15" i="5"/>
  <c r="AN15" i="5"/>
  <c r="AM15" i="5"/>
  <c r="AL15" i="5"/>
  <c r="AK15" i="5"/>
  <c r="AJ15" i="5"/>
  <c r="AI15" i="5"/>
  <c r="AH15" i="5"/>
  <c r="AG15" i="5"/>
  <c r="AF15" i="5"/>
  <c r="F15" i="5"/>
  <c r="F14" i="5" s="1"/>
  <c r="AT14" i="5"/>
  <c r="AS14" i="5"/>
  <c r="AR14" i="5"/>
  <c r="AM14" i="5"/>
  <c r="AE14" i="5"/>
  <c r="AD14" i="5"/>
  <c r="AC14" i="5"/>
  <c r="AN14" i="5" s="1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E14" i="5"/>
  <c r="D14" i="5"/>
  <c r="AP13" i="5"/>
  <c r="AO13" i="5"/>
  <c r="AN13" i="5"/>
  <c r="AM13" i="5"/>
  <c r="AL13" i="5"/>
  <c r="AK13" i="5"/>
  <c r="AJ13" i="5"/>
  <c r="AI13" i="5"/>
  <c r="AH13" i="5"/>
  <c r="AG13" i="5"/>
  <c r="AF13" i="5"/>
  <c r="F13" i="5"/>
  <c r="F12" i="5" s="1"/>
  <c r="AT12" i="5"/>
  <c r="AS12" i="5"/>
  <c r="AR12" i="5"/>
  <c r="AE12" i="5"/>
  <c r="AD12" i="5"/>
  <c r="AC12" i="5"/>
  <c r="AN12" i="5" s="1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E12" i="5"/>
  <c r="D12" i="5"/>
  <c r="AP11" i="5"/>
  <c r="AO11" i="5"/>
  <c r="AN11" i="5"/>
  <c r="AM11" i="5"/>
  <c r="AL11" i="5"/>
  <c r="AK11" i="5"/>
  <c r="AJ11" i="5"/>
  <c r="AI11" i="5"/>
  <c r="AH11" i="5"/>
  <c r="AG11" i="5"/>
  <c r="AF11" i="5"/>
  <c r="F11" i="5"/>
  <c r="AP10" i="5"/>
  <c r="AO10" i="5"/>
  <c r="AN10" i="5"/>
  <c r="AM10" i="5"/>
  <c r="AK10" i="5"/>
  <c r="AJ10" i="5"/>
  <c r="AI10" i="5"/>
  <c r="AH10" i="5"/>
  <c r="AG10" i="5"/>
  <c r="AF10" i="5"/>
  <c r="AP9" i="5"/>
  <c r="AO9" i="5"/>
  <c r="AN9" i="5"/>
  <c r="AM9" i="5"/>
  <c r="AK9" i="5"/>
  <c r="AJ9" i="5"/>
  <c r="AI9" i="5"/>
  <c r="AH9" i="5"/>
  <c r="AG9" i="5"/>
  <c r="AF9" i="5"/>
  <c r="F9" i="5"/>
  <c r="AO8" i="5"/>
  <c r="AM8" i="5"/>
  <c r="AK8" i="5"/>
  <c r="AI8" i="5"/>
  <c r="AH8" i="5"/>
  <c r="AG8" i="5"/>
  <c r="AF8" i="5"/>
  <c r="AP7" i="5"/>
  <c r="AO7" i="5"/>
  <c r="AN7" i="5"/>
  <c r="AM7" i="5"/>
  <c r="AL7" i="5"/>
  <c r="AK7" i="5"/>
  <c r="AJ7" i="5"/>
  <c r="AI7" i="5"/>
  <c r="AH7" i="5"/>
  <c r="AG7" i="5"/>
  <c r="AF7" i="5"/>
  <c r="F7" i="5"/>
  <c r="AP6" i="5"/>
  <c r="AO6" i="5"/>
  <c r="AN6" i="5"/>
  <c r="AM6" i="5"/>
  <c r="AL6" i="5"/>
  <c r="AK6" i="5"/>
  <c r="AJ6" i="5"/>
  <c r="AI6" i="5"/>
  <c r="AH6" i="5"/>
  <c r="AG6" i="5"/>
  <c r="AF6" i="5"/>
  <c r="F6" i="5"/>
  <c r="AT5" i="5"/>
  <c r="AS5" i="5"/>
  <c r="AR5" i="5"/>
  <c r="AE5" i="5"/>
  <c r="AJ5" i="5" s="1"/>
  <c r="AD5" i="5"/>
  <c r="AC5" i="5"/>
  <c r="AB5" i="5"/>
  <c r="AA5" i="5"/>
  <c r="Z5" i="5"/>
  <c r="Y5" i="5"/>
  <c r="X5" i="5"/>
  <c r="W5" i="5"/>
  <c r="V5" i="5"/>
  <c r="AO5" i="5" s="1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K52" i="6" l="1"/>
  <c r="I309" i="6"/>
  <c r="I308" i="6" s="1"/>
  <c r="Q326" i="6"/>
  <c r="O26" i="6"/>
  <c r="H51" i="6"/>
  <c r="H50" i="6" s="1"/>
  <c r="H49" i="6" s="1"/>
  <c r="K49" i="6" s="1"/>
  <c r="M134" i="6"/>
  <c r="M178" i="6"/>
  <c r="Q195" i="6"/>
  <c r="G199" i="6"/>
  <c r="G198" i="6" s="1"/>
  <c r="G192" i="6" s="1"/>
  <c r="R243" i="6"/>
  <c r="G268" i="6"/>
  <c r="G267" i="6" s="1"/>
  <c r="G266" i="6" s="1"/>
  <c r="G265" i="6" s="1"/>
  <c r="K310" i="6"/>
  <c r="L49" i="6"/>
  <c r="Q57" i="6"/>
  <c r="G56" i="6"/>
  <c r="G55" i="6" s="1"/>
  <c r="H8" i="6"/>
  <c r="R9" i="6"/>
  <c r="Q9" i="6"/>
  <c r="G50" i="6"/>
  <c r="R15" i="6"/>
  <c r="Q15" i="6"/>
  <c r="H24" i="6"/>
  <c r="R57" i="6"/>
  <c r="R56" i="6"/>
  <c r="M11" i="6"/>
  <c r="M17" i="6"/>
  <c r="P26" i="6"/>
  <c r="M27" i="6"/>
  <c r="O36" i="6"/>
  <c r="J35" i="6"/>
  <c r="P36" i="6"/>
  <c r="M53" i="6"/>
  <c r="O57" i="6"/>
  <c r="R58" i="6"/>
  <c r="O59" i="6"/>
  <c r="J63" i="6"/>
  <c r="M72" i="6"/>
  <c r="O72" i="6"/>
  <c r="J71" i="6"/>
  <c r="O78" i="6"/>
  <c r="M78" i="6"/>
  <c r="J77" i="6"/>
  <c r="J93" i="6"/>
  <c r="O94" i="6"/>
  <c r="Q95" i="6"/>
  <c r="M102" i="6"/>
  <c r="J101" i="6"/>
  <c r="P102" i="6"/>
  <c r="O102" i="6"/>
  <c r="L117" i="6"/>
  <c r="K117" i="6"/>
  <c r="M118" i="6"/>
  <c r="P118" i="6"/>
  <c r="O118" i="6"/>
  <c r="J117" i="6"/>
  <c r="H133" i="6"/>
  <c r="Q134" i="6"/>
  <c r="L134" i="6"/>
  <c r="R134" i="6"/>
  <c r="K144" i="6"/>
  <c r="M144" i="6"/>
  <c r="L144" i="6"/>
  <c r="N11" i="6"/>
  <c r="I16" i="6"/>
  <c r="N27" i="6"/>
  <c r="J45" i="6"/>
  <c r="K51" i="6"/>
  <c r="N53" i="6"/>
  <c r="Q56" i="6"/>
  <c r="K58" i="6"/>
  <c r="N58" i="6"/>
  <c r="P64" i="6"/>
  <c r="Q70" i="6"/>
  <c r="L71" i="6"/>
  <c r="I70" i="6"/>
  <c r="M82" i="6"/>
  <c r="O82" i="6"/>
  <c r="J81" i="6"/>
  <c r="R89" i="6"/>
  <c r="G80" i="6"/>
  <c r="R80" i="6" s="1"/>
  <c r="N102" i="6"/>
  <c r="L113" i="6"/>
  <c r="I112" i="6"/>
  <c r="K113" i="6"/>
  <c r="M114" i="6"/>
  <c r="P114" i="6"/>
  <c r="O114" i="6"/>
  <c r="J113" i="6"/>
  <c r="I142" i="6"/>
  <c r="Q16" i="6"/>
  <c r="Q26" i="6"/>
  <c r="P52" i="6"/>
  <c r="J51" i="6"/>
  <c r="J10" i="6"/>
  <c r="R10" i="6"/>
  <c r="K11" i="6"/>
  <c r="O11" i="6"/>
  <c r="J16" i="6"/>
  <c r="R16" i="6"/>
  <c r="K17" i="6"/>
  <c r="O17" i="6"/>
  <c r="G25" i="6"/>
  <c r="G24" i="6" s="1"/>
  <c r="G23" i="6" s="1"/>
  <c r="G22" i="6" s="1"/>
  <c r="R26" i="6"/>
  <c r="K27" i="6"/>
  <c r="R35" i="6"/>
  <c r="M36" i="6"/>
  <c r="K45" i="6"/>
  <c r="M46" i="6"/>
  <c r="L50" i="6"/>
  <c r="L52" i="6"/>
  <c r="J56" i="6"/>
  <c r="O58" i="6"/>
  <c r="P58" i="6"/>
  <c r="R59" i="6"/>
  <c r="L59" i="6"/>
  <c r="Q59" i="6"/>
  <c r="G64" i="6"/>
  <c r="G63" i="6" s="1"/>
  <c r="G62" i="6" s="1"/>
  <c r="G61" i="6" s="1"/>
  <c r="L65" i="6"/>
  <c r="I64" i="6"/>
  <c r="R70" i="6"/>
  <c r="K71" i="6"/>
  <c r="N72" i="6"/>
  <c r="K78" i="6"/>
  <c r="H77" i="6"/>
  <c r="H69" i="6" s="1"/>
  <c r="Q78" i="6"/>
  <c r="N78" i="6"/>
  <c r="Q80" i="6"/>
  <c r="K91" i="6"/>
  <c r="N118" i="6"/>
  <c r="H121" i="6"/>
  <c r="R122" i="6"/>
  <c r="Q122" i="6"/>
  <c r="L123" i="6"/>
  <c r="K123" i="6"/>
  <c r="I122" i="6"/>
  <c r="R126" i="6"/>
  <c r="Q126" i="6"/>
  <c r="L127" i="6"/>
  <c r="K127" i="6"/>
  <c r="I126" i="6"/>
  <c r="M126" i="6" s="1"/>
  <c r="K160" i="6"/>
  <c r="L160" i="6"/>
  <c r="I156" i="6"/>
  <c r="I10" i="6"/>
  <c r="Q10" i="6"/>
  <c r="N17" i="6"/>
  <c r="I26" i="6"/>
  <c r="N26" i="6" s="1"/>
  <c r="N36" i="6"/>
  <c r="I44" i="6"/>
  <c r="N46" i="6"/>
  <c r="M52" i="6"/>
  <c r="K53" i="6"/>
  <c r="H55" i="6"/>
  <c r="I57" i="6"/>
  <c r="M57" i="6" s="1"/>
  <c r="L58" i="6"/>
  <c r="Q58" i="6"/>
  <c r="H62" i="6"/>
  <c r="N64" i="6"/>
  <c r="N65" i="6"/>
  <c r="P65" i="6"/>
  <c r="Q65" i="6"/>
  <c r="P72" i="6"/>
  <c r="P78" i="6"/>
  <c r="N82" i="6"/>
  <c r="I80" i="6"/>
  <c r="L89" i="6"/>
  <c r="O89" i="6"/>
  <c r="M91" i="6"/>
  <c r="Q94" i="6"/>
  <c r="H93" i="6"/>
  <c r="P94" i="6"/>
  <c r="L95" i="6"/>
  <c r="I94" i="6"/>
  <c r="N94" i="6" s="1"/>
  <c r="O95" i="6"/>
  <c r="L102" i="6"/>
  <c r="I101" i="6"/>
  <c r="K102" i="6"/>
  <c r="N114" i="6"/>
  <c r="H148" i="6"/>
  <c r="L148" i="6" s="1"/>
  <c r="G148" i="6"/>
  <c r="G142" i="6" s="1"/>
  <c r="G141" i="6" s="1"/>
  <c r="G140" i="6" s="1"/>
  <c r="G108" i="6" s="1"/>
  <c r="M151" i="6"/>
  <c r="H156" i="6"/>
  <c r="O158" i="6"/>
  <c r="N161" i="6"/>
  <c r="P161" i="6"/>
  <c r="J160" i="6"/>
  <c r="P89" i="6"/>
  <c r="R95" i="6"/>
  <c r="H101" i="6"/>
  <c r="L103" i="6"/>
  <c r="P103" i="6"/>
  <c r="H111" i="6"/>
  <c r="J121" i="6"/>
  <c r="M122" i="6"/>
  <c r="K134" i="6"/>
  <c r="N135" i="6"/>
  <c r="J143" i="6"/>
  <c r="Q144" i="6"/>
  <c r="M158" i="6"/>
  <c r="J157" i="6"/>
  <c r="P158" i="6"/>
  <c r="M161" i="6"/>
  <c r="Q167" i="6"/>
  <c r="O172" i="6"/>
  <c r="J171" i="6"/>
  <c r="P172" i="6"/>
  <c r="Q178" i="6"/>
  <c r="H177" i="6"/>
  <c r="L177" i="6" s="1"/>
  <c r="R178" i="6"/>
  <c r="P178" i="6"/>
  <c r="M103" i="6"/>
  <c r="N122" i="6"/>
  <c r="N126" i="6"/>
  <c r="L133" i="6"/>
  <c r="I132" i="6"/>
  <c r="O134" i="6"/>
  <c r="P134" i="6"/>
  <c r="O135" i="6"/>
  <c r="M146" i="6"/>
  <c r="P146" i="6"/>
  <c r="L151" i="6"/>
  <c r="K151" i="6"/>
  <c r="J165" i="6"/>
  <c r="M166" i="6"/>
  <c r="L173" i="6"/>
  <c r="I172" i="6"/>
  <c r="K173" i="6"/>
  <c r="I176" i="6"/>
  <c r="K177" i="6"/>
  <c r="M182" i="6"/>
  <c r="J181" i="6"/>
  <c r="P182" i="6"/>
  <c r="O182" i="6"/>
  <c r="N182" i="6"/>
  <c r="O122" i="6"/>
  <c r="O126" i="6"/>
  <c r="J133" i="6"/>
  <c r="R149" i="6"/>
  <c r="Q149" i="6"/>
  <c r="L149" i="6"/>
  <c r="P151" i="6"/>
  <c r="O151" i="6"/>
  <c r="J148" i="6"/>
  <c r="R157" i="6"/>
  <c r="Q157" i="6"/>
  <c r="Q158" i="6"/>
  <c r="L161" i="6"/>
  <c r="K161" i="6"/>
  <c r="I165" i="6"/>
  <c r="N166" i="6"/>
  <c r="Q170" i="6"/>
  <c r="H169" i="6"/>
  <c r="R170" i="6"/>
  <c r="R171" i="6"/>
  <c r="N173" i="6"/>
  <c r="O179" i="6"/>
  <c r="N144" i="6"/>
  <c r="L146" i="6"/>
  <c r="L158" i="6"/>
  <c r="H166" i="6"/>
  <c r="L166" i="6" s="1"/>
  <c r="M167" i="6"/>
  <c r="Q171" i="6"/>
  <c r="O173" i="6"/>
  <c r="N178" i="6"/>
  <c r="Q179" i="6"/>
  <c r="R181" i="6"/>
  <c r="Q181" i="6"/>
  <c r="Q182" i="6"/>
  <c r="N196" i="6"/>
  <c r="L202" i="6"/>
  <c r="K202" i="6"/>
  <c r="N205" i="6"/>
  <c r="P206" i="6"/>
  <c r="N208" i="6"/>
  <c r="K213" i="6"/>
  <c r="I212" i="6"/>
  <c r="K221" i="6"/>
  <c r="P221" i="6"/>
  <c r="O222" i="6"/>
  <c r="H224" i="6"/>
  <c r="R225" i="6"/>
  <c r="N227" i="6"/>
  <c r="P228" i="6"/>
  <c r="Q231" i="6"/>
  <c r="N231" i="6"/>
  <c r="L235" i="6"/>
  <c r="Q241" i="6"/>
  <c r="H240" i="6"/>
  <c r="R241" i="6"/>
  <c r="O244" i="6"/>
  <c r="M244" i="6"/>
  <c r="J243" i="6"/>
  <c r="P244" i="6"/>
  <c r="H143" i="6"/>
  <c r="O144" i="6"/>
  <c r="P173" i="6"/>
  <c r="K178" i="6"/>
  <c r="O178" i="6"/>
  <c r="R179" i="6"/>
  <c r="L196" i="6"/>
  <c r="K196" i="6"/>
  <c r="P202" i="6"/>
  <c r="O202" i="6"/>
  <c r="J201" i="6"/>
  <c r="Q206" i="6"/>
  <c r="L208" i="6"/>
  <c r="K208" i="6"/>
  <c r="M209" i="6"/>
  <c r="K224" i="6"/>
  <c r="K225" i="6"/>
  <c r="P225" i="6"/>
  <c r="L227" i="6"/>
  <c r="Q228" i="6"/>
  <c r="Q230" i="6"/>
  <c r="I234" i="6"/>
  <c r="M235" i="6"/>
  <c r="N244" i="6"/>
  <c r="H291" i="6"/>
  <c r="Q292" i="6"/>
  <c r="K195" i="6"/>
  <c r="I194" i="6"/>
  <c r="P196" i="6"/>
  <c r="J195" i="6"/>
  <c r="H200" i="6"/>
  <c r="L200" i="6" s="1"/>
  <c r="R201" i="6"/>
  <c r="M205" i="6"/>
  <c r="R212" i="6"/>
  <c r="Q212" i="6"/>
  <c r="G220" i="6"/>
  <c r="G219" i="6" s="1"/>
  <c r="G218" i="6" s="1"/>
  <c r="G191" i="6" s="1"/>
  <c r="P224" i="6"/>
  <c r="O224" i="6"/>
  <c r="M227" i="6"/>
  <c r="L230" i="6"/>
  <c r="K230" i="6"/>
  <c r="M231" i="6"/>
  <c r="P234" i="6"/>
  <c r="J233" i="6"/>
  <c r="K273" i="6"/>
  <c r="L273" i="6"/>
  <c r="I272" i="6"/>
  <c r="L167" i="6"/>
  <c r="L179" i="6"/>
  <c r="Q193" i="6"/>
  <c r="Q194" i="6"/>
  <c r="L195" i="6"/>
  <c r="M196" i="6"/>
  <c r="K201" i="6"/>
  <c r="Q201" i="6"/>
  <c r="Q205" i="6"/>
  <c r="L205" i="6"/>
  <c r="L206" i="6"/>
  <c r="M208" i="6"/>
  <c r="Q208" i="6"/>
  <c r="H211" i="6"/>
  <c r="H220" i="6"/>
  <c r="R221" i="6"/>
  <c r="R222" i="6"/>
  <c r="Q222" i="6"/>
  <c r="L222" i="6"/>
  <c r="M224" i="6"/>
  <c r="Q227" i="6"/>
  <c r="L228" i="6"/>
  <c r="J230" i="6"/>
  <c r="M234" i="6"/>
  <c r="K244" i="6"/>
  <c r="L244" i="6"/>
  <c r="I243" i="6"/>
  <c r="M183" i="6"/>
  <c r="Q189" i="6"/>
  <c r="L209" i="6"/>
  <c r="Q209" i="6"/>
  <c r="N213" i="6"/>
  <c r="N221" i="6"/>
  <c r="M222" i="6"/>
  <c r="N225" i="6"/>
  <c r="M228" i="6"/>
  <c r="L231" i="6"/>
  <c r="N235" i="6"/>
  <c r="Q243" i="6"/>
  <c r="M245" i="6"/>
  <c r="N256" i="6"/>
  <c r="M257" i="6"/>
  <c r="Q257" i="6"/>
  <c r="K259" i="6"/>
  <c r="J262" i="6"/>
  <c r="K269" i="6"/>
  <c r="P269" i="6"/>
  <c r="O270" i="6"/>
  <c r="H272" i="6"/>
  <c r="R273" i="6"/>
  <c r="M274" i="6"/>
  <c r="N281" i="6"/>
  <c r="L281" i="6"/>
  <c r="P282" i="6"/>
  <c r="M284" i="6"/>
  <c r="Q293" i="6"/>
  <c r="M295" i="6"/>
  <c r="P295" i="6"/>
  <c r="N295" i="6"/>
  <c r="R302" i="6"/>
  <c r="Q302" i="6"/>
  <c r="K302" i="6"/>
  <c r="P302" i="6"/>
  <c r="G317" i="6"/>
  <c r="G316" i="6" s="1"/>
  <c r="G307" i="6" s="1"/>
  <c r="G304" i="6" s="1"/>
  <c r="Q321" i="6"/>
  <c r="J212" i="6"/>
  <c r="O213" i="6"/>
  <c r="O221" i="6"/>
  <c r="O225" i="6"/>
  <c r="I254" i="6"/>
  <c r="H255" i="6"/>
  <c r="L255" i="6" s="1"/>
  <c r="G256" i="6"/>
  <c r="G255" i="6" s="1"/>
  <c r="G254" i="6" s="1"/>
  <c r="G253" i="6" s="1"/>
  <c r="G252" i="6" s="1"/>
  <c r="K256" i="6"/>
  <c r="R257" i="6"/>
  <c r="Q259" i="6"/>
  <c r="L259" i="6"/>
  <c r="Q262" i="6"/>
  <c r="Q273" i="6"/>
  <c r="Q282" i="6"/>
  <c r="R285" i="6"/>
  <c r="H284" i="6"/>
  <c r="L284" i="6" s="1"/>
  <c r="Q285" i="6"/>
  <c r="P285" i="6"/>
  <c r="L323" i="6"/>
  <c r="I322" i="6"/>
  <c r="M322" i="6" s="1"/>
  <c r="K323" i="6"/>
  <c r="M323" i="6"/>
  <c r="L256" i="6"/>
  <c r="P256" i="6"/>
  <c r="L274" i="6"/>
  <c r="K274" i="6"/>
  <c r="M281" i="6"/>
  <c r="I280" i="6"/>
  <c r="K285" i="6"/>
  <c r="L285" i="6"/>
  <c r="L294" i="6"/>
  <c r="K294" i="6"/>
  <c r="I293" i="6"/>
  <c r="H300" i="6"/>
  <c r="R301" i="6"/>
  <c r="Q301" i="6"/>
  <c r="P301" i="6"/>
  <c r="L257" i="6"/>
  <c r="M259" i="6"/>
  <c r="P259" i="6"/>
  <c r="L262" i="6"/>
  <c r="K262" i="6"/>
  <c r="M263" i="6"/>
  <c r="R269" i="6"/>
  <c r="R270" i="6"/>
  <c r="Q270" i="6"/>
  <c r="L270" i="6"/>
  <c r="P274" i="6"/>
  <c r="O274" i="6"/>
  <c r="J273" i="6"/>
  <c r="Q281" i="6"/>
  <c r="L282" i="6"/>
  <c r="P284" i="6"/>
  <c r="J280" i="6"/>
  <c r="O284" i="6"/>
  <c r="P294" i="6"/>
  <c r="J293" i="6"/>
  <c r="N294" i="6"/>
  <c r="M294" i="6"/>
  <c r="J298" i="6"/>
  <c r="O299" i="6"/>
  <c r="K301" i="6"/>
  <c r="L301" i="6"/>
  <c r="I300" i="6"/>
  <c r="P312" i="6"/>
  <c r="M312" i="6"/>
  <c r="J311" i="6"/>
  <c r="N312" i="6"/>
  <c r="L263" i="6"/>
  <c r="Q263" i="6"/>
  <c r="N269" i="6"/>
  <c r="M282" i="6"/>
  <c r="O285" i="6"/>
  <c r="N285" i="6"/>
  <c r="M287" i="6"/>
  <c r="Q295" i="6"/>
  <c r="L309" i="6"/>
  <c r="H309" i="6"/>
  <c r="Q310" i="6"/>
  <c r="Q319" i="6"/>
  <c r="N323" i="6"/>
  <c r="I326" i="6"/>
  <c r="L327" i="6"/>
  <c r="K327" i="6"/>
  <c r="O269" i="6"/>
  <c r="Q287" i="6"/>
  <c r="L288" i="6"/>
  <c r="Q294" i="6"/>
  <c r="P300" i="6"/>
  <c r="O300" i="6"/>
  <c r="Q311" i="6"/>
  <c r="M318" i="6"/>
  <c r="P322" i="6"/>
  <c r="J321" i="6"/>
  <c r="N327" i="6"/>
  <c r="M288" i="6"/>
  <c r="N301" i="6"/>
  <c r="M302" i="6"/>
  <c r="H318" i="6"/>
  <c r="L318" i="6" s="1"/>
  <c r="M319" i="6"/>
  <c r="P323" i="6"/>
  <c r="J326" i="6"/>
  <c r="P327" i="6"/>
  <c r="O301" i="6"/>
  <c r="L319" i="6"/>
  <c r="AN5" i="5"/>
  <c r="AJ19" i="5"/>
  <c r="F19" i="5"/>
  <c r="AM26" i="5"/>
  <c r="AJ26" i="5"/>
  <c r="AP30" i="5"/>
  <c r="AN34" i="5"/>
  <c r="H47" i="5"/>
  <c r="P47" i="5"/>
  <c r="T47" i="5"/>
  <c r="X47" i="5"/>
  <c r="AB47" i="5"/>
  <c r="AT47" i="5"/>
  <c r="D47" i="5"/>
  <c r="AP5" i="5"/>
  <c r="AM12" i="5"/>
  <c r="AS47" i="5"/>
  <c r="G47" i="5"/>
  <c r="AP12" i="5"/>
  <c r="AF5" i="5"/>
  <c r="AL12" i="5"/>
  <c r="AP14" i="5"/>
  <c r="AO19" i="5"/>
  <c r="AP26" i="5"/>
  <c r="F26" i="5"/>
  <c r="F47" i="5" s="1"/>
  <c r="AP40" i="5"/>
  <c r="I47" i="5"/>
  <c r="M47" i="5"/>
  <c r="Q47" i="5"/>
  <c r="U47" i="5"/>
  <c r="Y47" i="5"/>
  <c r="E47" i="5"/>
  <c r="AM5" i="5"/>
  <c r="AF12" i="5"/>
  <c r="AL14" i="5"/>
  <c r="AL19" i="5"/>
  <c r="AN19" i="5"/>
  <c r="AH38" i="5"/>
  <c r="AL40" i="5"/>
  <c r="J47" i="5"/>
  <c r="N47" i="5"/>
  <c r="R47" i="5"/>
  <c r="V47" i="5"/>
  <c r="Z47" i="5"/>
  <c r="AD47" i="5"/>
  <c r="AR47" i="5"/>
  <c r="J46" i="5"/>
  <c r="J45" i="5" s="1"/>
  <c r="L25" i="5"/>
  <c r="L45" i="5"/>
  <c r="L33" i="5"/>
  <c r="L46" i="5"/>
  <c r="L32" i="5"/>
  <c r="L44" i="5"/>
  <c r="O51" i="5"/>
  <c r="AP47" i="5"/>
  <c r="AO47" i="5"/>
  <c r="AI12" i="5"/>
  <c r="AI14" i="5"/>
  <c r="AG19" i="5"/>
  <c r="AK19" i="5"/>
  <c r="AG30" i="5"/>
  <c r="AK30" i="5"/>
  <c r="AG34" i="5"/>
  <c r="AK34" i="5"/>
  <c r="AI38" i="5"/>
  <c r="AI40" i="5"/>
  <c r="AF42" i="5"/>
  <c r="AN42" i="5"/>
  <c r="AE47" i="5"/>
  <c r="AQ30" i="5" s="1"/>
  <c r="AG5" i="5"/>
  <c r="AK5" i="5"/>
  <c r="AJ12" i="5"/>
  <c r="AF14" i="5"/>
  <c r="AJ14" i="5"/>
  <c r="AH19" i="5"/>
  <c r="AP19" i="5"/>
  <c r="AG26" i="5"/>
  <c r="AK26" i="5"/>
  <c r="AO26" i="5"/>
  <c r="AH30" i="5"/>
  <c r="AL30" i="5"/>
  <c r="AH34" i="5"/>
  <c r="AP34" i="5"/>
  <c r="AK38" i="5"/>
  <c r="AJ40" i="5"/>
  <c r="AG42" i="5"/>
  <c r="AK42" i="5"/>
  <c r="AH5" i="5"/>
  <c r="AL5" i="5"/>
  <c r="AG12" i="5"/>
  <c r="AK12" i="5"/>
  <c r="AO12" i="5"/>
  <c r="AG14" i="5"/>
  <c r="AK14" i="5"/>
  <c r="AO14" i="5"/>
  <c r="AI19" i="5"/>
  <c r="AM19" i="5"/>
  <c r="AH26" i="5"/>
  <c r="AL26" i="5"/>
  <c r="AI30" i="5"/>
  <c r="AM30" i="5"/>
  <c r="AI34" i="5"/>
  <c r="AM34" i="5"/>
  <c r="AG38" i="5"/>
  <c r="AG40" i="5"/>
  <c r="AK40" i="5"/>
  <c r="AO40" i="5"/>
  <c r="AH42" i="5"/>
  <c r="AL42" i="5"/>
  <c r="AP42" i="5"/>
  <c r="AC47" i="5"/>
  <c r="AG47" i="5" s="1"/>
  <c r="AI5" i="5"/>
  <c r="AH12" i="5"/>
  <c r="AH14" i="5"/>
  <c r="AI26" i="5"/>
  <c r="AF30" i="5"/>
  <c r="AH40" i="5"/>
  <c r="AI42" i="5"/>
  <c r="Q256" i="6" l="1"/>
  <c r="N57" i="6"/>
  <c r="O256" i="6"/>
  <c r="L77" i="6"/>
  <c r="L51" i="6"/>
  <c r="Q51" i="6"/>
  <c r="K50" i="6"/>
  <c r="H68" i="6"/>
  <c r="P318" i="6"/>
  <c r="Q309" i="6"/>
  <c r="H308" i="6"/>
  <c r="N311" i="6"/>
  <c r="M311" i="6"/>
  <c r="P311" i="6"/>
  <c r="J310" i="6"/>
  <c r="H299" i="6"/>
  <c r="R300" i="6"/>
  <c r="Q300" i="6"/>
  <c r="R211" i="6"/>
  <c r="H199" i="6"/>
  <c r="Q211" i="6"/>
  <c r="K200" i="6"/>
  <c r="L272" i="6"/>
  <c r="K272" i="6"/>
  <c r="I268" i="6"/>
  <c r="P233" i="6"/>
  <c r="H290" i="6"/>
  <c r="Q290" i="6" s="1"/>
  <c r="Q291" i="6"/>
  <c r="L234" i="6"/>
  <c r="K234" i="6"/>
  <c r="I233" i="6"/>
  <c r="N233" i="6" s="1"/>
  <c r="R143" i="6"/>
  <c r="Q143" i="6"/>
  <c r="P243" i="6"/>
  <c r="N243" i="6"/>
  <c r="M243" i="6"/>
  <c r="J241" i="6"/>
  <c r="O243" i="6"/>
  <c r="N234" i="6"/>
  <c r="I164" i="6"/>
  <c r="K172" i="6"/>
  <c r="L172" i="6"/>
  <c r="I171" i="6"/>
  <c r="N171" i="6" s="1"/>
  <c r="N172" i="6"/>
  <c r="I131" i="6"/>
  <c r="R111" i="6"/>
  <c r="Q111" i="6"/>
  <c r="H110" i="6"/>
  <c r="L101" i="6"/>
  <c r="I100" i="6"/>
  <c r="K101" i="6"/>
  <c r="R55" i="6"/>
  <c r="Q55" i="6"/>
  <c r="R121" i="6"/>
  <c r="Q121" i="6"/>
  <c r="L64" i="6"/>
  <c r="I63" i="6"/>
  <c r="K64" i="6"/>
  <c r="N51" i="6"/>
  <c r="M51" i="6"/>
  <c r="P51" i="6"/>
  <c r="J50" i="6"/>
  <c r="K16" i="6"/>
  <c r="L16" i="6"/>
  <c r="I15" i="6"/>
  <c r="P77" i="6"/>
  <c r="N77" i="6"/>
  <c r="O77" i="6"/>
  <c r="M77" i="6"/>
  <c r="P71" i="6"/>
  <c r="N71" i="6"/>
  <c r="M71" i="6"/>
  <c r="J70" i="6"/>
  <c r="O71" i="6"/>
  <c r="O64" i="6"/>
  <c r="N35" i="6"/>
  <c r="O35" i="6"/>
  <c r="M35" i="6"/>
  <c r="J25" i="6"/>
  <c r="P35" i="6"/>
  <c r="Q25" i="6"/>
  <c r="Q63" i="6"/>
  <c r="K309" i="6"/>
  <c r="J297" i="6"/>
  <c r="O298" i="6"/>
  <c r="P293" i="6"/>
  <c r="J292" i="6"/>
  <c r="N293" i="6"/>
  <c r="M293" i="6"/>
  <c r="N280" i="6"/>
  <c r="M280" i="6"/>
  <c r="J279" i="6"/>
  <c r="O280" i="6"/>
  <c r="O273" i="6"/>
  <c r="N273" i="6"/>
  <c r="M273" i="6"/>
  <c r="J272" i="6"/>
  <c r="P273" i="6"/>
  <c r="K293" i="6"/>
  <c r="I292" i="6"/>
  <c r="L293" i="6"/>
  <c r="K322" i="6"/>
  <c r="L322" i="6"/>
  <c r="N322" i="6"/>
  <c r="I321" i="6"/>
  <c r="H268" i="6"/>
  <c r="R272" i="6"/>
  <c r="Q272" i="6"/>
  <c r="P262" i="6"/>
  <c r="J255" i="6"/>
  <c r="N262" i="6"/>
  <c r="M262" i="6"/>
  <c r="R256" i="6"/>
  <c r="I193" i="6"/>
  <c r="L194" i="6"/>
  <c r="K194" i="6"/>
  <c r="O201" i="6"/>
  <c r="N201" i="6"/>
  <c r="P201" i="6"/>
  <c r="M201" i="6"/>
  <c r="J200" i="6"/>
  <c r="H239" i="6"/>
  <c r="R240" i="6"/>
  <c r="Q240" i="6"/>
  <c r="R169" i="6"/>
  <c r="Q169" i="6"/>
  <c r="I175" i="6"/>
  <c r="N157" i="6"/>
  <c r="M157" i="6"/>
  <c r="J156" i="6"/>
  <c r="O157" i="6"/>
  <c r="P157" i="6"/>
  <c r="P143" i="6"/>
  <c r="O143" i="6"/>
  <c r="N143" i="6"/>
  <c r="M143" i="6"/>
  <c r="Q64" i="6"/>
  <c r="K44" i="6"/>
  <c r="L44" i="6"/>
  <c r="I141" i="6"/>
  <c r="L112" i="6"/>
  <c r="K112" i="6"/>
  <c r="K143" i="6"/>
  <c r="N101" i="6"/>
  <c r="M101" i="6"/>
  <c r="P101" i="6"/>
  <c r="J100" i="6"/>
  <c r="O101" i="6"/>
  <c r="N63" i="6"/>
  <c r="P63" i="6"/>
  <c r="O63" i="6"/>
  <c r="M63" i="6"/>
  <c r="J62" i="6"/>
  <c r="R25" i="6"/>
  <c r="I279" i="6"/>
  <c r="R284" i="6"/>
  <c r="H280" i="6"/>
  <c r="K280" i="6" s="1"/>
  <c r="Q284" i="6"/>
  <c r="R255" i="6"/>
  <c r="Q255" i="6"/>
  <c r="H254" i="6"/>
  <c r="Q200" i="6"/>
  <c r="R200" i="6"/>
  <c r="R224" i="6"/>
  <c r="Q224" i="6"/>
  <c r="K212" i="6"/>
  <c r="L212" i="6"/>
  <c r="I211" i="6"/>
  <c r="O148" i="6"/>
  <c r="N148" i="6"/>
  <c r="M148" i="6"/>
  <c r="J142" i="6"/>
  <c r="P148" i="6"/>
  <c r="P133" i="6"/>
  <c r="O133" i="6"/>
  <c r="N133" i="6"/>
  <c r="M133" i="6"/>
  <c r="J132" i="6"/>
  <c r="N181" i="6"/>
  <c r="M181" i="6"/>
  <c r="J177" i="6"/>
  <c r="P181" i="6"/>
  <c r="O181" i="6"/>
  <c r="N165" i="6"/>
  <c r="J164" i="6"/>
  <c r="M165" i="6"/>
  <c r="P171" i="6"/>
  <c r="J170" i="6"/>
  <c r="O171" i="6"/>
  <c r="R148" i="6"/>
  <c r="H142" i="6"/>
  <c r="L142" i="6" s="1"/>
  <c r="Q148" i="6"/>
  <c r="R93" i="6"/>
  <c r="Q93" i="6"/>
  <c r="H61" i="6"/>
  <c r="R62" i="6"/>
  <c r="Q62" i="6"/>
  <c r="K10" i="6"/>
  <c r="L10" i="6"/>
  <c r="I9" i="6"/>
  <c r="K126" i="6"/>
  <c r="L126" i="6"/>
  <c r="J55" i="6"/>
  <c r="P56" i="6"/>
  <c r="O56" i="6"/>
  <c r="O16" i="6"/>
  <c r="N16" i="6"/>
  <c r="M16" i="6"/>
  <c r="J15" i="6"/>
  <c r="P16" i="6"/>
  <c r="K148" i="6"/>
  <c r="P81" i="6"/>
  <c r="N81" i="6"/>
  <c r="J80" i="6"/>
  <c r="O81" i="6"/>
  <c r="M81" i="6"/>
  <c r="K70" i="6"/>
  <c r="L70" i="6"/>
  <c r="I69" i="6"/>
  <c r="M45" i="6"/>
  <c r="P45" i="6"/>
  <c r="N45" i="6"/>
  <c r="J44" i="6"/>
  <c r="L143" i="6"/>
  <c r="R133" i="6"/>
  <c r="Q133" i="6"/>
  <c r="K133" i="6"/>
  <c r="H132" i="6"/>
  <c r="P93" i="6"/>
  <c r="O93" i="6"/>
  <c r="M64" i="6"/>
  <c r="Q24" i="6"/>
  <c r="H23" i="6"/>
  <c r="R24" i="6"/>
  <c r="M326" i="6"/>
  <c r="P326" i="6"/>
  <c r="N326" i="6"/>
  <c r="K318" i="6"/>
  <c r="H317" i="6"/>
  <c r="Q318" i="6"/>
  <c r="N321" i="6"/>
  <c r="P321" i="6"/>
  <c r="M321" i="6"/>
  <c r="J317" i="6"/>
  <c r="K326" i="6"/>
  <c r="L326" i="6"/>
  <c r="L300" i="6"/>
  <c r="I299" i="6"/>
  <c r="K300" i="6"/>
  <c r="N300" i="6"/>
  <c r="M300" i="6"/>
  <c r="K284" i="6"/>
  <c r="L254" i="6"/>
  <c r="I253" i="6"/>
  <c r="N212" i="6"/>
  <c r="M212" i="6"/>
  <c r="J211" i="6"/>
  <c r="P212" i="6"/>
  <c r="O212" i="6"/>
  <c r="K255" i="6"/>
  <c r="L243" i="6"/>
  <c r="K243" i="6"/>
  <c r="I241" i="6"/>
  <c r="P230" i="6"/>
  <c r="J220" i="6"/>
  <c r="N230" i="6"/>
  <c r="M230" i="6"/>
  <c r="H219" i="6"/>
  <c r="R220" i="6"/>
  <c r="Q220" i="6"/>
  <c r="P195" i="6"/>
  <c r="J194" i="6"/>
  <c r="N195" i="6"/>
  <c r="M195" i="6"/>
  <c r="L224" i="6"/>
  <c r="H165" i="6"/>
  <c r="L165" i="6" s="1"/>
  <c r="Q166" i="6"/>
  <c r="K166" i="6"/>
  <c r="P166" i="6"/>
  <c r="R177" i="6"/>
  <c r="H176" i="6"/>
  <c r="L176" i="6" s="1"/>
  <c r="Q177" i="6"/>
  <c r="M172" i="6"/>
  <c r="P121" i="6"/>
  <c r="O121" i="6"/>
  <c r="R101" i="6"/>
  <c r="Q101" i="6"/>
  <c r="H100" i="6"/>
  <c r="P160" i="6"/>
  <c r="N160" i="6"/>
  <c r="M160" i="6"/>
  <c r="H155" i="6"/>
  <c r="R156" i="6"/>
  <c r="Q156" i="6"/>
  <c r="K94" i="6"/>
  <c r="L94" i="6"/>
  <c r="I93" i="6"/>
  <c r="M93" i="6" s="1"/>
  <c r="K80" i="6"/>
  <c r="L80" i="6"/>
  <c r="L57" i="6"/>
  <c r="I56" i="6"/>
  <c r="M56" i="6" s="1"/>
  <c r="K57" i="6"/>
  <c r="K26" i="6"/>
  <c r="M26" i="6"/>
  <c r="L26" i="6"/>
  <c r="I25" i="6"/>
  <c r="K156" i="6"/>
  <c r="L156" i="6"/>
  <c r="I155" i="6"/>
  <c r="K122" i="6"/>
  <c r="I121" i="6"/>
  <c r="L122" i="6"/>
  <c r="R77" i="6"/>
  <c r="Q77" i="6"/>
  <c r="K77" i="6"/>
  <c r="O10" i="6"/>
  <c r="N10" i="6"/>
  <c r="J9" i="6"/>
  <c r="M10" i="6"/>
  <c r="P10" i="6"/>
  <c r="P113" i="6"/>
  <c r="O113" i="6"/>
  <c r="N113" i="6"/>
  <c r="M113" i="6"/>
  <c r="J112" i="6"/>
  <c r="R63" i="6"/>
  <c r="P117" i="6"/>
  <c r="O117" i="6"/>
  <c r="N117" i="6"/>
  <c r="M117" i="6"/>
  <c r="M94" i="6"/>
  <c r="R64" i="6"/>
  <c r="G69" i="6"/>
  <c r="G68" i="6" s="1"/>
  <c r="G67" i="6" s="1"/>
  <c r="G5" i="6" s="1"/>
  <c r="G329" i="6" s="1"/>
  <c r="G49" i="6"/>
  <c r="Q49" i="6" s="1"/>
  <c r="Q50" i="6"/>
  <c r="Q8" i="6"/>
  <c r="H7" i="6"/>
  <c r="R8" i="6"/>
  <c r="AQ34" i="5"/>
  <c r="AF47" i="5"/>
  <c r="AL47" i="5"/>
  <c r="AH47" i="5"/>
  <c r="AQ45" i="5"/>
  <c r="AQ43" i="5"/>
  <c r="AQ41" i="5"/>
  <c r="AQ37" i="5"/>
  <c r="AQ36" i="5"/>
  <c r="AQ33" i="5"/>
  <c r="AQ27" i="5"/>
  <c r="AQ22" i="5"/>
  <c r="AQ21" i="5"/>
  <c r="AQ10" i="5"/>
  <c r="AQ6" i="5"/>
  <c r="AK47" i="5"/>
  <c r="AQ46" i="5"/>
  <c r="AQ35" i="5"/>
  <c r="AQ32" i="5"/>
  <c r="AQ20" i="5"/>
  <c r="AQ18" i="5"/>
  <c r="AQ17" i="5"/>
  <c r="AQ16" i="5"/>
  <c r="AJ47" i="5"/>
  <c r="AQ39" i="5"/>
  <c r="AQ31" i="5"/>
  <c r="AQ29" i="5"/>
  <c r="AQ24" i="5"/>
  <c r="AQ47" i="5"/>
  <c r="AI47" i="5"/>
  <c r="AQ44" i="5"/>
  <c r="AQ28" i="5"/>
  <c r="AQ25" i="5"/>
  <c r="AQ23" i="5"/>
  <c r="AQ15" i="5"/>
  <c r="AQ13" i="5"/>
  <c r="AQ11" i="5"/>
  <c r="AQ9" i="5"/>
  <c r="AQ8" i="5"/>
  <c r="AQ7" i="5"/>
  <c r="AQ19" i="5"/>
  <c r="AQ40" i="5"/>
  <c r="AQ12" i="5"/>
  <c r="AQ5" i="5"/>
  <c r="AQ42" i="5"/>
  <c r="AN47" i="5"/>
  <c r="AM47" i="5"/>
  <c r="AQ38" i="5"/>
  <c r="AQ14" i="5"/>
  <c r="AQ26" i="5"/>
  <c r="M171" i="6" l="1"/>
  <c r="N93" i="6"/>
  <c r="L121" i="6"/>
  <c r="K121" i="6"/>
  <c r="H99" i="6"/>
  <c r="R100" i="6"/>
  <c r="Q100" i="6"/>
  <c r="Q219" i="6"/>
  <c r="R219" i="6"/>
  <c r="H218" i="6"/>
  <c r="N255" i="6"/>
  <c r="M255" i="6"/>
  <c r="J254" i="6"/>
  <c r="P255" i="6"/>
  <c r="O255" i="6"/>
  <c r="P25" i="6"/>
  <c r="O25" i="6"/>
  <c r="N25" i="6"/>
  <c r="M25" i="6"/>
  <c r="J24" i="6"/>
  <c r="M310" i="6"/>
  <c r="N310" i="6"/>
  <c r="J309" i="6"/>
  <c r="P310" i="6"/>
  <c r="L25" i="6"/>
  <c r="I24" i="6"/>
  <c r="K25" i="6"/>
  <c r="O211" i="6"/>
  <c r="N211" i="6"/>
  <c r="P211" i="6"/>
  <c r="M211" i="6"/>
  <c r="J199" i="6"/>
  <c r="Q317" i="6"/>
  <c r="H316" i="6"/>
  <c r="Q316" i="6" s="1"/>
  <c r="P44" i="6"/>
  <c r="N44" i="6"/>
  <c r="M44" i="6"/>
  <c r="P15" i="6"/>
  <c r="O15" i="6"/>
  <c r="N15" i="6"/>
  <c r="M15" i="6"/>
  <c r="M164" i="6"/>
  <c r="J163" i="6"/>
  <c r="N164" i="6"/>
  <c r="M142" i="6"/>
  <c r="J141" i="6"/>
  <c r="P142" i="6"/>
  <c r="O142" i="6"/>
  <c r="N142" i="6"/>
  <c r="H253" i="6"/>
  <c r="R254" i="6"/>
  <c r="Q254" i="6"/>
  <c r="R280" i="6"/>
  <c r="Q280" i="6"/>
  <c r="H279" i="6"/>
  <c r="K279" i="6" s="1"/>
  <c r="L280" i="6"/>
  <c r="I111" i="6"/>
  <c r="O156" i="6"/>
  <c r="N156" i="6"/>
  <c r="M156" i="6"/>
  <c r="J155" i="6"/>
  <c r="P156" i="6"/>
  <c r="H267" i="6"/>
  <c r="R268" i="6"/>
  <c r="Q268" i="6"/>
  <c r="P280" i="6"/>
  <c r="O297" i="6"/>
  <c r="L15" i="6"/>
  <c r="K15" i="6"/>
  <c r="K100" i="6"/>
  <c r="L100" i="6"/>
  <c r="I99" i="6"/>
  <c r="K165" i="6"/>
  <c r="K233" i="6"/>
  <c r="L233" i="6"/>
  <c r="I220" i="6"/>
  <c r="Q308" i="6"/>
  <c r="K308" i="6"/>
  <c r="L308" i="6"/>
  <c r="H67" i="6"/>
  <c r="Q68" i="6"/>
  <c r="R68" i="6"/>
  <c r="M112" i="6"/>
  <c r="J111" i="6"/>
  <c r="P112" i="6"/>
  <c r="O112" i="6"/>
  <c r="N112" i="6"/>
  <c r="P9" i="6"/>
  <c r="N9" i="6"/>
  <c r="O9" i="6"/>
  <c r="M9" i="6"/>
  <c r="J8" i="6"/>
  <c r="N121" i="6"/>
  <c r="N194" i="6"/>
  <c r="M194" i="6"/>
  <c r="P194" i="6"/>
  <c r="J193" i="6"/>
  <c r="L253" i="6"/>
  <c r="I252" i="6"/>
  <c r="R23" i="6"/>
  <c r="Q23" i="6"/>
  <c r="H22" i="6"/>
  <c r="Q132" i="6"/>
  <c r="R132" i="6"/>
  <c r="H131" i="6"/>
  <c r="I140" i="6"/>
  <c r="P200" i="6"/>
  <c r="O200" i="6"/>
  <c r="N200" i="6"/>
  <c r="M200" i="6"/>
  <c r="L193" i="6"/>
  <c r="K193" i="6"/>
  <c r="N292" i="6"/>
  <c r="M292" i="6"/>
  <c r="P292" i="6"/>
  <c r="J291" i="6"/>
  <c r="M50" i="6"/>
  <c r="N50" i="6"/>
  <c r="P50" i="6"/>
  <c r="J49" i="6"/>
  <c r="L132" i="6"/>
  <c r="L155" i="6"/>
  <c r="I154" i="6"/>
  <c r="K155" i="6"/>
  <c r="K56" i="6"/>
  <c r="L56" i="6"/>
  <c r="I55" i="6"/>
  <c r="L93" i="6"/>
  <c r="K93" i="6"/>
  <c r="H175" i="6"/>
  <c r="L175" i="6" s="1"/>
  <c r="Q176" i="6"/>
  <c r="R176" i="6"/>
  <c r="K241" i="6"/>
  <c r="L241" i="6"/>
  <c r="I240" i="6"/>
  <c r="K254" i="6"/>
  <c r="L69" i="6"/>
  <c r="I68" i="6"/>
  <c r="K69" i="6"/>
  <c r="N56" i="6"/>
  <c r="N55" i="6"/>
  <c r="M55" i="6"/>
  <c r="P55" i="6"/>
  <c r="O55" i="6"/>
  <c r="L9" i="6"/>
  <c r="I8" i="6"/>
  <c r="K9" i="6"/>
  <c r="P165" i="6"/>
  <c r="M132" i="6"/>
  <c r="J131" i="6"/>
  <c r="P132" i="6"/>
  <c r="O132" i="6"/>
  <c r="N132" i="6"/>
  <c r="K211" i="6"/>
  <c r="I199" i="6"/>
  <c r="L211" i="6"/>
  <c r="K176" i="6"/>
  <c r="L321" i="6"/>
  <c r="K321" i="6"/>
  <c r="I317" i="6"/>
  <c r="N317" i="6" s="1"/>
  <c r="P272" i="6"/>
  <c r="O272" i="6"/>
  <c r="M272" i="6"/>
  <c r="J268" i="6"/>
  <c r="N272" i="6"/>
  <c r="O279" i="6"/>
  <c r="N279" i="6"/>
  <c r="M279" i="6"/>
  <c r="K63" i="6"/>
  <c r="L63" i="6"/>
  <c r="I62" i="6"/>
  <c r="L131" i="6"/>
  <c r="I130" i="6"/>
  <c r="L171" i="6"/>
  <c r="I170" i="6"/>
  <c r="K171" i="6"/>
  <c r="M233" i="6"/>
  <c r="L268" i="6"/>
  <c r="I267" i="6"/>
  <c r="K268" i="6"/>
  <c r="Q69" i="6"/>
  <c r="R7" i="6"/>
  <c r="Q7" i="6"/>
  <c r="H6" i="6"/>
  <c r="H154" i="6"/>
  <c r="R155" i="6"/>
  <c r="Q155" i="6"/>
  <c r="M121" i="6"/>
  <c r="Q165" i="6"/>
  <c r="H164" i="6"/>
  <c r="P220" i="6"/>
  <c r="O220" i="6"/>
  <c r="M220" i="6"/>
  <c r="J219" i="6"/>
  <c r="N220" i="6"/>
  <c r="L299" i="6"/>
  <c r="I298" i="6"/>
  <c r="K299" i="6"/>
  <c r="M299" i="6"/>
  <c r="N299" i="6"/>
  <c r="P317" i="6"/>
  <c r="J316" i="6"/>
  <c r="M80" i="6"/>
  <c r="O80" i="6"/>
  <c r="P80" i="6"/>
  <c r="N80" i="6"/>
  <c r="R61" i="6"/>
  <c r="Q61" i="6"/>
  <c r="Q142" i="6"/>
  <c r="H141" i="6"/>
  <c r="K141" i="6" s="1"/>
  <c r="R142" i="6"/>
  <c r="J169" i="6"/>
  <c r="O170" i="6"/>
  <c r="P170" i="6"/>
  <c r="N177" i="6"/>
  <c r="P177" i="6"/>
  <c r="O177" i="6"/>
  <c r="M177" i="6"/>
  <c r="J176" i="6"/>
  <c r="O62" i="6"/>
  <c r="M62" i="6"/>
  <c r="J61" i="6"/>
  <c r="P62" i="6"/>
  <c r="N62" i="6"/>
  <c r="O100" i="6"/>
  <c r="N100" i="6"/>
  <c r="M100" i="6"/>
  <c r="J99" i="6"/>
  <c r="P100" i="6"/>
  <c r="K142" i="6"/>
  <c r="Q239" i="6"/>
  <c r="R239" i="6"/>
  <c r="I291" i="6"/>
  <c r="L292" i="6"/>
  <c r="K292" i="6"/>
  <c r="M70" i="6"/>
  <c r="J69" i="6"/>
  <c r="O70" i="6"/>
  <c r="P70" i="6"/>
  <c r="N70" i="6"/>
  <c r="H109" i="6"/>
  <c r="R110" i="6"/>
  <c r="Q110" i="6"/>
  <c r="K132" i="6"/>
  <c r="I163" i="6"/>
  <c r="L164" i="6"/>
  <c r="O241" i="6"/>
  <c r="N241" i="6"/>
  <c r="M241" i="6"/>
  <c r="J240" i="6"/>
  <c r="P241" i="6"/>
  <c r="Q199" i="6"/>
  <c r="H198" i="6"/>
  <c r="R199" i="6"/>
  <c r="Q299" i="6"/>
  <c r="H298" i="6"/>
  <c r="R299" i="6"/>
  <c r="P299" i="6"/>
  <c r="R69" i="6"/>
  <c r="P279" i="6" l="1"/>
  <c r="H307" i="6"/>
  <c r="O176" i="6"/>
  <c r="M176" i="6"/>
  <c r="J175" i="6"/>
  <c r="P176" i="6"/>
  <c r="N176" i="6"/>
  <c r="H5" i="6"/>
  <c r="R6" i="6"/>
  <c r="Q6" i="6"/>
  <c r="L252" i="6"/>
  <c r="Q267" i="6"/>
  <c r="R267" i="6"/>
  <c r="H266" i="6"/>
  <c r="K24" i="6"/>
  <c r="L24" i="6"/>
  <c r="I23" i="6"/>
  <c r="R198" i="6"/>
  <c r="Q198" i="6"/>
  <c r="H192" i="6"/>
  <c r="P99" i="6"/>
  <c r="N99" i="6"/>
  <c r="O99" i="6"/>
  <c r="M99" i="6"/>
  <c r="J98" i="6"/>
  <c r="J218" i="6"/>
  <c r="P219" i="6"/>
  <c r="O219" i="6"/>
  <c r="L267" i="6"/>
  <c r="I266" i="6"/>
  <c r="K267" i="6"/>
  <c r="L199" i="6"/>
  <c r="I198" i="6"/>
  <c r="K199" i="6"/>
  <c r="R279" i="6"/>
  <c r="Q279" i="6"/>
  <c r="M199" i="6"/>
  <c r="J198" i="6"/>
  <c r="P199" i="6"/>
  <c r="O199" i="6"/>
  <c r="N199" i="6"/>
  <c r="R218" i="6"/>
  <c r="Q218" i="6"/>
  <c r="R298" i="6"/>
  <c r="Q298" i="6"/>
  <c r="H297" i="6"/>
  <c r="P298" i="6"/>
  <c r="P169" i="6"/>
  <c r="O169" i="6"/>
  <c r="L298" i="6"/>
  <c r="I297" i="6"/>
  <c r="K298" i="6"/>
  <c r="N298" i="6"/>
  <c r="M298" i="6"/>
  <c r="H163" i="6"/>
  <c r="Q163" i="6" s="1"/>
  <c r="Q164" i="6"/>
  <c r="K62" i="6"/>
  <c r="L62" i="6"/>
  <c r="I61" i="6"/>
  <c r="N49" i="6"/>
  <c r="M49" i="6"/>
  <c r="P49" i="6"/>
  <c r="M193" i="6"/>
  <c r="P193" i="6"/>
  <c r="N193" i="6"/>
  <c r="N111" i="6"/>
  <c r="M111" i="6"/>
  <c r="J110" i="6"/>
  <c r="P111" i="6"/>
  <c r="O111" i="6"/>
  <c r="R67" i="6"/>
  <c r="Q67" i="6"/>
  <c r="H304" i="6"/>
  <c r="Q307" i="6"/>
  <c r="P155" i="6"/>
  <c r="O155" i="6"/>
  <c r="N155" i="6"/>
  <c r="M155" i="6"/>
  <c r="J154" i="6"/>
  <c r="H252" i="6"/>
  <c r="R253" i="6"/>
  <c r="Q253" i="6"/>
  <c r="N163" i="6"/>
  <c r="M163" i="6"/>
  <c r="P163" i="6"/>
  <c r="R99" i="6"/>
  <c r="H98" i="6"/>
  <c r="Q99" i="6"/>
  <c r="P240" i="6"/>
  <c r="O240" i="6"/>
  <c r="N240" i="6"/>
  <c r="M240" i="6"/>
  <c r="J239" i="6"/>
  <c r="N69" i="6"/>
  <c r="P69" i="6"/>
  <c r="O69" i="6"/>
  <c r="M69" i="6"/>
  <c r="J68" i="6"/>
  <c r="L291" i="6"/>
  <c r="I290" i="6"/>
  <c r="K291" i="6"/>
  <c r="P61" i="6"/>
  <c r="O61" i="6"/>
  <c r="M316" i="6"/>
  <c r="P316" i="6"/>
  <c r="N316" i="6"/>
  <c r="I316" i="6"/>
  <c r="L317" i="6"/>
  <c r="K317" i="6"/>
  <c r="K68" i="6"/>
  <c r="L68" i="6"/>
  <c r="I67" i="6"/>
  <c r="R175" i="6"/>
  <c r="Q175" i="6"/>
  <c r="K175" i="6"/>
  <c r="Q22" i="6"/>
  <c r="R22" i="6"/>
  <c r="M8" i="6"/>
  <c r="J7" i="6"/>
  <c r="P8" i="6"/>
  <c r="O8" i="6"/>
  <c r="N8" i="6"/>
  <c r="O254" i="6"/>
  <c r="N254" i="6"/>
  <c r="M254" i="6"/>
  <c r="J253" i="6"/>
  <c r="P254" i="6"/>
  <c r="R141" i="6"/>
  <c r="Q141" i="6"/>
  <c r="H140" i="6"/>
  <c r="L140" i="6" s="1"/>
  <c r="K170" i="6"/>
  <c r="L170" i="6"/>
  <c r="I169" i="6"/>
  <c r="R131" i="6"/>
  <c r="Q131" i="6"/>
  <c r="H130" i="6"/>
  <c r="K164" i="6"/>
  <c r="R109" i="6"/>
  <c r="Q109" i="6"/>
  <c r="N170" i="6"/>
  <c r="M170" i="6"/>
  <c r="M317" i="6"/>
  <c r="Q154" i="6"/>
  <c r="R154" i="6"/>
  <c r="K131" i="6"/>
  <c r="P268" i="6"/>
  <c r="O268" i="6"/>
  <c r="M268" i="6"/>
  <c r="J267" i="6"/>
  <c r="N268" i="6"/>
  <c r="N131" i="6"/>
  <c r="O131" i="6"/>
  <c r="M131" i="6"/>
  <c r="J130" i="6"/>
  <c r="P131" i="6"/>
  <c r="L8" i="6"/>
  <c r="I7" i="6"/>
  <c r="K8" i="6"/>
  <c r="L240" i="6"/>
  <c r="I239" i="6"/>
  <c r="K240" i="6"/>
  <c r="L55" i="6"/>
  <c r="K55" i="6"/>
  <c r="L154" i="6"/>
  <c r="I153" i="6"/>
  <c r="K154" i="6"/>
  <c r="M291" i="6"/>
  <c r="P291" i="6"/>
  <c r="J290" i="6"/>
  <c r="N291" i="6"/>
  <c r="L141" i="6"/>
  <c r="K253" i="6"/>
  <c r="L220" i="6"/>
  <c r="I219" i="6"/>
  <c r="K220" i="6"/>
  <c r="L99" i="6"/>
  <c r="I98" i="6"/>
  <c r="K99" i="6"/>
  <c r="L111" i="6"/>
  <c r="I110" i="6"/>
  <c r="K111" i="6"/>
  <c r="N141" i="6"/>
  <c r="M141" i="6"/>
  <c r="P141" i="6"/>
  <c r="O141" i="6"/>
  <c r="J140" i="6"/>
  <c r="P164" i="6"/>
  <c r="P309" i="6"/>
  <c r="J308" i="6"/>
  <c r="M309" i="6"/>
  <c r="N309" i="6"/>
  <c r="M24" i="6"/>
  <c r="J23" i="6"/>
  <c r="P24" i="6"/>
  <c r="O24" i="6"/>
  <c r="N24" i="6"/>
  <c r="L279" i="6"/>
  <c r="K163" i="6" l="1"/>
  <c r="R130" i="6"/>
  <c r="Q130" i="6"/>
  <c r="M239" i="6"/>
  <c r="P239" i="6"/>
  <c r="O239" i="6"/>
  <c r="N239" i="6"/>
  <c r="P308" i="6"/>
  <c r="J307" i="6"/>
  <c r="N308" i="6"/>
  <c r="M308" i="6"/>
  <c r="K297" i="6"/>
  <c r="L297" i="6"/>
  <c r="N297" i="6"/>
  <c r="M297" i="6"/>
  <c r="L163" i="6"/>
  <c r="M98" i="6"/>
  <c r="J97" i="6"/>
  <c r="O98" i="6"/>
  <c r="P98" i="6"/>
  <c r="N98" i="6"/>
  <c r="I22" i="6"/>
  <c r="L23" i="6"/>
  <c r="K23" i="6"/>
  <c r="R5" i="6"/>
  <c r="Q5" i="6"/>
  <c r="L239" i="6"/>
  <c r="K239" i="6"/>
  <c r="L130" i="6"/>
  <c r="L290" i="6"/>
  <c r="K290" i="6"/>
  <c r="R266" i="6"/>
  <c r="Q266" i="6"/>
  <c r="H265" i="6"/>
  <c r="P175" i="6"/>
  <c r="N175" i="6"/>
  <c r="M175" i="6"/>
  <c r="O175" i="6"/>
  <c r="O140" i="6"/>
  <c r="N140" i="6"/>
  <c r="M140" i="6"/>
  <c r="P140" i="6"/>
  <c r="O110" i="6"/>
  <c r="N110" i="6"/>
  <c r="M110" i="6"/>
  <c r="J109" i="6"/>
  <c r="P110" i="6"/>
  <c r="L61" i="6"/>
  <c r="K61" i="6"/>
  <c r="K98" i="6"/>
  <c r="L98" i="6"/>
  <c r="I97" i="6"/>
  <c r="P290" i="6"/>
  <c r="M290" i="6"/>
  <c r="N290" i="6"/>
  <c r="O130" i="6"/>
  <c r="N130" i="6"/>
  <c r="M130" i="6"/>
  <c r="P130" i="6"/>
  <c r="H108" i="6"/>
  <c r="R140" i="6"/>
  <c r="Q140" i="6"/>
  <c r="P253" i="6"/>
  <c r="O253" i="6"/>
  <c r="N253" i="6"/>
  <c r="M253" i="6"/>
  <c r="J252" i="6"/>
  <c r="L67" i="6"/>
  <c r="K67" i="6"/>
  <c r="M61" i="6"/>
  <c r="O218" i="6"/>
  <c r="P218" i="6"/>
  <c r="R192" i="6"/>
  <c r="Q192" i="6"/>
  <c r="H191" i="6"/>
  <c r="K140" i="6"/>
  <c r="N23" i="6"/>
  <c r="P23" i="6"/>
  <c r="M23" i="6"/>
  <c r="J22" i="6"/>
  <c r="O23" i="6"/>
  <c r="M267" i="6"/>
  <c r="J266" i="6"/>
  <c r="P267" i="6"/>
  <c r="O267" i="6"/>
  <c r="N267" i="6"/>
  <c r="M154" i="6"/>
  <c r="J153" i="6"/>
  <c r="P154" i="6"/>
  <c r="O154" i="6"/>
  <c r="N154" i="6"/>
  <c r="N198" i="6"/>
  <c r="J192" i="6"/>
  <c r="M198" i="6"/>
  <c r="P198" i="6"/>
  <c r="O198" i="6"/>
  <c r="L266" i="6"/>
  <c r="I265" i="6"/>
  <c r="K266" i="6"/>
  <c r="L219" i="6"/>
  <c r="I218" i="6"/>
  <c r="N218" i="6" s="1"/>
  <c r="K219" i="6"/>
  <c r="K130" i="6"/>
  <c r="I192" i="6"/>
  <c r="L198" i="6"/>
  <c r="K198" i="6"/>
  <c r="K110" i="6"/>
  <c r="L110" i="6"/>
  <c r="I109" i="6"/>
  <c r="L7" i="6"/>
  <c r="I6" i="6"/>
  <c r="K7" i="6"/>
  <c r="H153" i="6"/>
  <c r="L153" i="6" s="1"/>
  <c r="L169" i="6"/>
  <c r="K169" i="6"/>
  <c r="N7" i="6"/>
  <c r="M7" i="6"/>
  <c r="J6" i="6"/>
  <c r="P7" i="6"/>
  <c r="O7" i="6"/>
  <c r="K316" i="6"/>
  <c r="L316" i="6"/>
  <c r="I307" i="6"/>
  <c r="N61" i="6"/>
  <c r="O68" i="6"/>
  <c r="M68" i="6"/>
  <c r="J67" i="6"/>
  <c r="N68" i="6"/>
  <c r="P68" i="6"/>
  <c r="Q98" i="6"/>
  <c r="H97" i="6"/>
  <c r="R98" i="6"/>
  <c r="Q252" i="6"/>
  <c r="R252" i="6"/>
  <c r="R304" i="6"/>
  <c r="Q304" i="6"/>
  <c r="M169" i="6"/>
  <c r="N169" i="6"/>
  <c r="R297" i="6"/>
  <c r="Q297" i="6"/>
  <c r="P297" i="6"/>
  <c r="N219" i="6"/>
  <c r="M219" i="6"/>
  <c r="K252" i="6"/>
  <c r="I304" i="6" l="1"/>
  <c r="L307" i="6"/>
  <c r="K307" i="6"/>
  <c r="N153" i="6"/>
  <c r="M153" i="6"/>
  <c r="P153" i="6"/>
  <c r="O153" i="6"/>
  <c r="O6" i="6"/>
  <c r="M6" i="6"/>
  <c r="N6" i="6"/>
  <c r="J5" i="6"/>
  <c r="P6" i="6"/>
  <c r="L192" i="6"/>
  <c r="I191" i="6"/>
  <c r="K192" i="6"/>
  <c r="N192" i="6"/>
  <c r="M192" i="6"/>
  <c r="J191" i="6"/>
  <c r="P192" i="6"/>
  <c r="O192" i="6"/>
  <c r="N266" i="6"/>
  <c r="M266" i="6"/>
  <c r="J265" i="6"/>
  <c r="O266" i="6"/>
  <c r="P266" i="6"/>
  <c r="O22" i="6"/>
  <c r="N22" i="6"/>
  <c r="M22" i="6"/>
  <c r="P22" i="6"/>
  <c r="M252" i="6"/>
  <c r="P252" i="6"/>
  <c r="O252" i="6"/>
  <c r="N252" i="6"/>
  <c r="Q108" i="6"/>
  <c r="R108" i="6"/>
  <c r="P109" i="6"/>
  <c r="O109" i="6"/>
  <c r="N109" i="6"/>
  <c r="M109" i="6"/>
  <c r="J108" i="6"/>
  <c r="K22" i="6"/>
  <c r="L22" i="6"/>
  <c r="K265" i="6"/>
  <c r="L265" i="6"/>
  <c r="L97" i="6"/>
  <c r="K97" i="6"/>
  <c r="K6" i="6"/>
  <c r="L6" i="6"/>
  <c r="I5" i="6"/>
  <c r="L109" i="6"/>
  <c r="I108" i="6"/>
  <c r="K109" i="6"/>
  <c r="L218" i="6"/>
  <c r="K218" i="6"/>
  <c r="M218" i="6"/>
  <c r="R265" i="6"/>
  <c r="Q265" i="6"/>
  <c r="N307" i="6"/>
  <c r="M307" i="6"/>
  <c r="P307" i="6"/>
  <c r="J304" i="6"/>
  <c r="R97" i="6"/>
  <c r="Q97" i="6"/>
  <c r="P67" i="6"/>
  <c r="N67" i="6"/>
  <c r="O67" i="6"/>
  <c r="M67" i="6"/>
  <c r="R153" i="6"/>
  <c r="Q153" i="6"/>
  <c r="K153" i="6"/>
  <c r="R191" i="6"/>
  <c r="Q191" i="6"/>
  <c r="H329" i="6"/>
  <c r="N97" i="6"/>
  <c r="P97" i="6"/>
  <c r="O97" i="6"/>
  <c r="M97" i="6"/>
  <c r="I329" i="6" l="1"/>
  <c r="L5" i="6"/>
  <c r="K5" i="6"/>
  <c r="O191" i="6"/>
  <c r="N191" i="6"/>
  <c r="M191" i="6"/>
  <c r="P191" i="6"/>
  <c r="K191" i="6"/>
  <c r="L191" i="6"/>
  <c r="R329" i="6"/>
  <c r="Q329" i="6"/>
  <c r="L108" i="6"/>
  <c r="K108" i="6"/>
  <c r="O265" i="6"/>
  <c r="N265" i="6"/>
  <c r="P265" i="6"/>
  <c r="M265" i="6"/>
  <c r="P304" i="6"/>
  <c r="O304" i="6"/>
  <c r="M304" i="6"/>
  <c r="N304" i="6"/>
  <c r="J329" i="6"/>
  <c r="S108" i="6" s="1"/>
  <c r="P5" i="6"/>
  <c r="N5" i="6"/>
  <c r="O5" i="6"/>
  <c r="M5" i="6"/>
  <c r="L304" i="6"/>
  <c r="K304" i="6"/>
  <c r="M108" i="6"/>
  <c r="P108" i="6"/>
  <c r="O108" i="6"/>
  <c r="N108" i="6"/>
  <c r="S265" i="6" l="1"/>
  <c r="S191" i="6"/>
  <c r="S5" i="6"/>
  <c r="L329" i="6"/>
  <c r="K329" i="6"/>
  <c r="P329" i="6"/>
  <c r="S320" i="6"/>
  <c r="N329" i="6"/>
  <c r="S328" i="6"/>
  <c r="S306" i="6"/>
  <c r="M329" i="6"/>
  <c r="S296" i="6"/>
  <c r="S327" i="6"/>
  <c r="S329" i="6"/>
  <c r="S302" i="6"/>
  <c r="S286" i="6"/>
  <c r="O329" i="6"/>
  <c r="S282" i="6"/>
  <c r="S264" i="6"/>
  <c r="S271" i="6"/>
  <c r="S258" i="6"/>
  <c r="S305" i="6"/>
  <c r="S299" i="6"/>
  <c r="S270" i="6"/>
  <c r="S261" i="6"/>
  <c r="S257" i="6"/>
  <c r="S245" i="6"/>
  <c r="S303" i="6"/>
  <c r="S289" i="6"/>
  <c r="S197" i="6"/>
  <c r="S180" i="6"/>
  <c r="S323" i="6"/>
  <c r="S283" i="6"/>
  <c r="S232" i="6"/>
  <c r="S210" i="6"/>
  <c r="S190" i="6"/>
  <c r="S235" i="6"/>
  <c r="S226" i="6"/>
  <c r="S223" i="6"/>
  <c r="S168" i="6"/>
  <c r="S222" i="6"/>
  <c r="S189" i="6"/>
  <c r="S174" i="6"/>
  <c r="S162" i="6"/>
  <c r="S152" i="6"/>
  <c r="S229" i="6"/>
  <c r="S207" i="6"/>
  <c r="S183" i="6"/>
  <c r="S167" i="6"/>
  <c r="S159" i="6"/>
  <c r="S147" i="6"/>
  <c r="S150" i="6"/>
  <c r="S96" i="6"/>
  <c r="S92" i="6"/>
  <c r="S161" i="6"/>
  <c r="S158" i="6"/>
  <c r="S149" i="6"/>
  <c r="S145" i="6"/>
  <c r="S127" i="6"/>
  <c r="S123" i="6"/>
  <c r="S90" i="6"/>
  <c r="S66" i="6"/>
  <c r="S54" i="6"/>
  <c r="S179" i="6"/>
  <c r="S59" i="6"/>
  <c r="S53" i="6"/>
  <c r="S26" i="6"/>
  <c r="S103" i="6"/>
  <c r="S95" i="6"/>
  <c r="S91" i="6"/>
  <c r="S89" i="6"/>
  <c r="S79" i="6"/>
  <c r="S27" i="6"/>
  <c r="S65" i="6"/>
  <c r="S60" i="6"/>
  <c r="S78" i="6"/>
  <c r="S102" i="6"/>
  <c r="S11" i="6"/>
  <c r="S52" i="6"/>
  <c r="S64" i="6"/>
  <c r="S126" i="6"/>
  <c r="S134" i="6"/>
  <c r="S196" i="6"/>
  <c r="S173" i="6"/>
  <c r="S244" i="6"/>
  <c r="S202" i="6"/>
  <c r="S227" i="6"/>
  <c r="S231" i="6"/>
  <c r="S259" i="6"/>
  <c r="S274" i="6"/>
  <c r="S301" i="6"/>
  <c r="S300" i="6"/>
  <c r="S36" i="6"/>
  <c r="S72" i="6"/>
  <c r="S17" i="6"/>
  <c r="S234" i="6"/>
  <c r="S135" i="6"/>
  <c r="S256" i="6"/>
  <c r="S213" i="6"/>
  <c r="S224" i="6"/>
  <c r="S269" i="6"/>
  <c r="S281" i="6"/>
  <c r="S263" i="6"/>
  <c r="S312" i="6"/>
  <c r="S260" i="6"/>
  <c r="S287" i="6"/>
  <c r="S318" i="6"/>
  <c r="S322" i="6"/>
  <c r="S288" i="6"/>
  <c r="S94" i="6"/>
  <c r="S118" i="6"/>
  <c r="S46" i="6"/>
  <c r="S114" i="6"/>
  <c r="S57" i="6"/>
  <c r="S172" i="6"/>
  <c r="S166" i="6"/>
  <c r="S146" i="6"/>
  <c r="S178" i="6"/>
  <c r="S294" i="6"/>
  <c r="S208" i="6"/>
  <c r="S295" i="6"/>
  <c r="S285" i="6"/>
  <c r="S319" i="6"/>
  <c r="S82" i="6"/>
  <c r="S58" i="6"/>
  <c r="S122" i="6"/>
  <c r="S144" i="6"/>
  <c r="S182" i="6"/>
  <c r="S151" i="6"/>
  <c r="S209" i="6"/>
  <c r="S221" i="6"/>
  <c r="S205" i="6"/>
  <c r="S225" i="6"/>
  <c r="S206" i="6"/>
  <c r="S228" i="6"/>
  <c r="S284" i="6"/>
  <c r="S311" i="6"/>
  <c r="S233" i="6"/>
  <c r="S280" i="6"/>
  <c r="S157" i="6"/>
  <c r="S56" i="6"/>
  <c r="S10" i="6"/>
  <c r="S243" i="6"/>
  <c r="S51" i="6"/>
  <c r="S35" i="6"/>
  <c r="S293" i="6"/>
  <c r="S273" i="6"/>
  <c r="S101" i="6"/>
  <c r="S171" i="6"/>
  <c r="S326" i="6"/>
  <c r="S195" i="6"/>
  <c r="S121" i="6"/>
  <c r="S77" i="6"/>
  <c r="S165" i="6"/>
  <c r="S45" i="6"/>
  <c r="S212" i="6"/>
  <c r="S230" i="6"/>
  <c r="S160" i="6"/>
  <c r="S262" i="6"/>
  <c r="S201" i="6"/>
  <c r="S63" i="6"/>
  <c r="S148" i="6"/>
  <c r="S133" i="6"/>
  <c r="S16" i="6"/>
  <c r="S117" i="6"/>
  <c r="S71" i="6"/>
  <c r="S298" i="6"/>
  <c r="S143" i="6"/>
  <c r="S181" i="6"/>
  <c r="S81" i="6"/>
  <c r="S93" i="6"/>
  <c r="S321" i="6"/>
  <c r="S113" i="6"/>
  <c r="S25" i="6"/>
  <c r="S44" i="6"/>
  <c r="S9" i="6"/>
  <c r="S177" i="6"/>
  <c r="S62" i="6"/>
  <c r="S70" i="6"/>
  <c r="S164" i="6"/>
  <c r="S170" i="6"/>
  <c r="S100" i="6"/>
  <c r="S297" i="6"/>
  <c r="S112" i="6"/>
  <c r="S132" i="6"/>
  <c r="S80" i="6"/>
  <c r="S255" i="6"/>
  <c r="S310" i="6"/>
  <c r="S211" i="6"/>
  <c r="S156" i="6"/>
  <c r="S200" i="6"/>
  <c r="S292" i="6"/>
  <c r="S50" i="6"/>
  <c r="S272" i="6"/>
  <c r="S317" i="6"/>
  <c r="S15" i="6"/>
  <c r="S142" i="6"/>
  <c r="S194" i="6"/>
  <c r="S279" i="6"/>
  <c r="S55" i="6"/>
  <c r="S220" i="6"/>
  <c r="S241" i="6"/>
  <c r="S176" i="6"/>
  <c r="S193" i="6"/>
  <c r="S111" i="6"/>
  <c r="S163" i="6"/>
  <c r="S268" i="6"/>
  <c r="S24" i="6"/>
  <c r="S291" i="6"/>
  <c r="S99" i="6"/>
  <c r="S199" i="6"/>
  <c r="S240" i="6"/>
  <c r="S131" i="6"/>
  <c r="S141" i="6"/>
  <c r="S219" i="6"/>
  <c r="S49" i="6"/>
  <c r="S69" i="6"/>
  <c r="S8" i="6"/>
  <c r="S254" i="6"/>
  <c r="S316" i="6"/>
  <c r="S155" i="6"/>
  <c r="S309" i="6"/>
  <c r="S169" i="6"/>
  <c r="S61" i="6"/>
  <c r="S239" i="6"/>
  <c r="S140" i="6"/>
  <c r="S130" i="6"/>
  <c r="S218" i="6"/>
  <c r="S175" i="6"/>
  <c r="S23" i="6"/>
  <c r="S154" i="6"/>
  <c r="S198" i="6"/>
  <c r="S308" i="6"/>
  <c r="S98" i="6"/>
  <c r="S110" i="6"/>
  <c r="S253" i="6"/>
  <c r="S267" i="6"/>
  <c r="S68" i="6"/>
  <c r="S290" i="6"/>
  <c r="S7" i="6"/>
  <c r="S192" i="6"/>
  <c r="S109" i="6"/>
  <c r="S97" i="6"/>
  <c r="S153" i="6"/>
  <c r="S307" i="6"/>
  <c r="S67" i="6"/>
  <c r="S266" i="6"/>
  <c r="S6" i="6"/>
  <c r="S252" i="6"/>
  <c r="S22" i="6"/>
  <c r="S304" i="6"/>
  <c r="BT124" i="4" l="1"/>
  <c r="BS124" i="4"/>
  <c r="BR124" i="4"/>
  <c r="BN124" i="4"/>
  <c r="BM124" i="4"/>
  <c r="BT123" i="4"/>
  <c r="BS123" i="4"/>
  <c r="BR123" i="4"/>
  <c r="BN123" i="4"/>
  <c r="BM123" i="4"/>
  <c r="BT122" i="4"/>
  <c r="BS122" i="4"/>
  <c r="BR122" i="4"/>
  <c r="BN122" i="4"/>
  <c r="BM122" i="4"/>
  <c r="BT121" i="4"/>
  <c r="BS121" i="4"/>
  <c r="BR121" i="4"/>
  <c r="BQ121" i="4"/>
  <c r="BQ119" i="4" s="1"/>
  <c r="BN121" i="4"/>
  <c r="BM121" i="4"/>
  <c r="Q121" i="4"/>
  <c r="BT120" i="4"/>
  <c r="BS120" i="4"/>
  <c r="BR120" i="4"/>
  <c r="BN120" i="4"/>
  <c r="BM120" i="4"/>
  <c r="U120" i="4"/>
  <c r="M120" i="4"/>
  <c r="M119" i="4" s="1"/>
  <c r="C120" i="4"/>
  <c r="BP119" i="4"/>
  <c r="BT119" i="4" s="1"/>
  <c r="BO119" i="4"/>
  <c r="BL119" i="4"/>
  <c r="BN119" i="4" s="1"/>
  <c r="BK119" i="4"/>
  <c r="BJ119" i="4"/>
  <c r="BI119" i="4"/>
  <c r="BH119" i="4"/>
  <c r="BG119" i="4"/>
  <c r="BF119" i="4"/>
  <c r="BE119" i="4"/>
  <c r="BD119" i="4"/>
  <c r="BC119" i="4"/>
  <c r="BB119" i="4"/>
  <c r="BB67" i="4" s="1"/>
  <c r="BA119" i="4"/>
  <c r="AZ119" i="4"/>
  <c r="AY119" i="4"/>
  <c r="AX119" i="4"/>
  <c r="AW119" i="4"/>
  <c r="AV119" i="4"/>
  <c r="AU119" i="4"/>
  <c r="AT119" i="4"/>
  <c r="AS119" i="4"/>
  <c r="AR119" i="4"/>
  <c r="AQ119" i="4"/>
  <c r="AP119" i="4"/>
  <c r="AO119" i="4"/>
  <c r="AN119" i="4"/>
  <c r="AM119" i="4"/>
  <c r="AL119" i="4"/>
  <c r="AK119" i="4"/>
  <c r="AJ119" i="4"/>
  <c r="AI119" i="4"/>
  <c r="AH119" i="4"/>
  <c r="AG119" i="4"/>
  <c r="AF119" i="4"/>
  <c r="AE119" i="4"/>
  <c r="AD119" i="4"/>
  <c r="AC119" i="4"/>
  <c r="AB119" i="4"/>
  <c r="AA119" i="4"/>
  <c r="Z119" i="4"/>
  <c r="Y119" i="4"/>
  <c r="X119" i="4"/>
  <c r="W119" i="4"/>
  <c r="V119" i="4"/>
  <c r="U119" i="4"/>
  <c r="T119" i="4"/>
  <c r="S119" i="4"/>
  <c r="R119" i="4"/>
  <c r="Q119" i="4"/>
  <c r="P119" i="4"/>
  <c r="O119" i="4"/>
  <c r="N119" i="4"/>
  <c r="L119" i="4"/>
  <c r="K119" i="4"/>
  <c r="J119" i="4"/>
  <c r="I119" i="4"/>
  <c r="H119" i="4"/>
  <c r="G119" i="4"/>
  <c r="F119" i="4"/>
  <c r="E119" i="4"/>
  <c r="D119" i="4"/>
  <c r="C119" i="4"/>
  <c r="BT118" i="4"/>
  <c r="BS118" i="4"/>
  <c r="BR118" i="4"/>
  <c r="BN118" i="4"/>
  <c r="BM118" i="4"/>
  <c r="BT117" i="4"/>
  <c r="BS117" i="4"/>
  <c r="BR117" i="4"/>
  <c r="BN117" i="4"/>
  <c r="BM117" i="4"/>
  <c r="BT116" i="4"/>
  <c r="BS116" i="4"/>
  <c r="BR116" i="4"/>
  <c r="BN116" i="4"/>
  <c r="BM116" i="4"/>
  <c r="BS115" i="4"/>
  <c r="BR115" i="4"/>
  <c r="BN115" i="4"/>
  <c r="BM115" i="4"/>
  <c r="BE115" i="4"/>
  <c r="BT115" i="4" s="1"/>
  <c r="BT114" i="4"/>
  <c r="BS114" i="4"/>
  <c r="BR114" i="4"/>
  <c r="BN114" i="4"/>
  <c r="BM114" i="4"/>
  <c r="BT113" i="4"/>
  <c r="BS113" i="4"/>
  <c r="BR113" i="4"/>
  <c r="BN113" i="4"/>
  <c r="BM113" i="4"/>
  <c r="BT112" i="4"/>
  <c r="BS112" i="4"/>
  <c r="BR112" i="4"/>
  <c r="BN112" i="4"/>
  <c r="BM112" i="4"/>
  <c r="BT111" i="4"/>
  <c r="BS111" i="4"/>
  <c r="BR111" i="4"/>
  <c r="BN111" i="4"/>
  <c r="BM111" i="4"/>
  <c r="BT110" i="4"/>
  <c r="BS110" i="4"/>
  <c r="BR110" i="4"/>
  <c r="BN110" i="4"/>
  <c r="BM110" i="4"/>
  <c r="BT109" i="4"/>
  <c r="BS109" i="4"/>
  <c r="BR109" i="4"/>
  <c r="BN109" i="4"/>
  <c r="BM109" i="4"/>
  <c r="BT108" i="4"/>
  <c r="BS108" i="4"/>
  <c r="BR108" i="4"/>
  <c r="BN108" i="4"/>
  <c r="BM108" i="4"/>
  <c r="BT107" i="4"/>
  <c r="BS107" i="4"/>
  <c r="BR107" i="4"/>
  <c r="BN107" i="4"/>
  <c r="BM107" i="4"/>
  <c r="BP106" i="4"/>
  <c r="BM106" i="4"/>
  <c r="BL106" i="4"/>
  <c r="BN106" i="4" s="1"/>
  <c r="BE106" i="4"/>
  <c r="AF106" i="4"/>
  <c r="AE106" i="4"/>
  <c r="BT105" i="4"/>
  <c r="BS105" i="4"/>
  <c r="BR105" i="4"/>
  <c r="BN105" i="4"/>
  <c r="BM105" i="4"/>
  <c r="BT104" i="4"/>
  <c r="BS104" i="4"/>
  <c r="BR104" i="4"/>
  <c r="BN104" i="4"/>
  <c r="BM104" i="4"/>
  <c r="BT103" i="4"/>
  <c r="BS103" i="4"/>
  <c r="BR103" i="4"/>
  <c r="BN103" i="4"/>
  <c r="BM103" i="4"/>
  <c r="BT102" i="4"/>
  <c r="BS102" i="4"/>
  <c r="BR102" i="4"/>
  <c r="BN102" i="4"/>
  <c r="BM102" i="4"/>
  <c r="BT101" i="4"/>
  <c r="BS101" i="4"/>
  <c r="BR101" i="4"/>
  <c r="BN101" i="4"/>
  <c r="BM101" i="4"/>
  <c r="AV101" i="4"/>
  <c r="AU101" i="4"/>
  <c r="AT101" i="4"/>
  <c r="AL101" i="4"/>
  <c r="AK101" i="4"/>
  <c r="BT100" i="4"/>
  <c r="BS100" i="4"/>
  <c r="BR100" i="4"/>
  <c r="BN100" i="4"/>
  <c r="BM100" i="4"/>
  <c r="AF100" i="4"/>
  <c r="AE100" i="4"/>
  <c r="AB100" i="4"/>
  <c r="AA100" i="4"/>
  <c r="BT99" i="4"/>
  <c r="BR99" i="4"/>
  <c r="BP99" i="4"/>
  <c r="BL99" i="4"/>
  <c r="BN99" i="4" s="1"/>
  <c r="BK99" i="4"/>
  <c r="BJ99" i="4"/>
  <c r="BE99" i="4"/>
  <c r="BD99" i="4"/>
  <c r="BC99" i="4"/>
  <c r="BC94" i="4" s="1"/>
  <c r="BC91" i="4" s="1"/>
  <c r="BC69" i="4" s="1"/>
  <c r="BB99" i="4"/>
  <c r="BA99" i="4"/>
  <c r="AX99" i="4"/>
  <c r="AV99" i="4"/>
  <c r="AU99" i="4"/>
  <c r="AT99" i="4"/>
  <c r="AL99" i="4"/>
  <c r="AK99" i="4"/>
  <c r="L99" i="4"/>
  <c r="K99" i="4"/>
  <c r="BR98" i="4"/>
  <c r="BP98" i="4"/>
  <c r="BS98" i="4" s="1"/>
  <c r="BL98" i="4"/>
  <c r="BN98" i="4" s="1"/>
  <c r="BT97" i="4"/>
  <c r="BS97" i="4"/>
  <c r="BR97" i="4"/>
  <c r="BN97" i="4"/>
  <c r="BM97" i="4"/>
  <c r="BR96" i="4"/>
  <c r="BP96" i="4"/>
  <c r="BL96" i="4"/>
  <c r="BN96" i="4" s="1"/>
  <c r="BE96" i="4"/>
  <c r="BT96" i="4" s="1"/>
  <c r="BD96" i="4"/>
  <c r="BC96" i="4"/>
  <c r="AV96" i="4"/>
  <c r="AU96" i="4"/>
  <c r="AT96" i="4"/>
  <c r="AF96" i="4"/>
  <c r="AE96" i="4"/>
  <c r="H96" i="4"/>
  <c r="BT95" i="4"/>
  <c r="BS95" i="4"/>
  <c r="BR95" i="4"/>
  <c r="BN95" i="4"/>
  <c r="BM95" i="4"/>
  <c r="BB95" i="4"/>
  <c r="BA95" i="4"/>
  <c r="AX95" i="4"/>
  <c r="AV95" i="4"/>
  <c r="AU95" i="4"/>
  <c r="AT95" i="4"/>
  <c r="AS95" i="4"/>
  <c r="AR95" i="4"/>
  <c r="AF95" i="4"/>
  <c r="AE95" i="4"/>
  <c r="AD95" i="4"/>
  <c r="BT94" i="4"/>
  <c r="BS94" i="4"/>
  <c r="BR94" i="4"/>
  <c r="BN94" i="4"/>
  <c r="BM94" i="4"/>
  <c r="T94" i="4"/>
  <c r="T91" i="4" s="1"/>
  <c r="S94" i="4"/>
  <c r="S91" i="4" s="1"/>
  <c r="R94" i="4"/>
  <c r="R91" i="4" s="1"/>
  <c r="Q94" i="4"/>
  <c r="P94" i="4"/>
  <c r="P91" i="4" s="1"/>
  <c r="O94" i="4"/>
  <c r="O91" i="4" s="1"/>
  <c r="N94" i="4"/>
  <c r="N91" i="4" s="1"/>
  <c r="L94" i="4"/>
  <c r="K94" i="4"/>
  <c r="J94" i="4"/>
  <c r="J91" i="4" s="1"/>
  <c r="BT93" i="4"/>
  <c r="BS93" i="4"/>
  <c r="BR93" i="4"/>
  <c r="BN93" i="4"/>
  <c r="BM93" i="4"/>
  <c r="BT92" i="4"/>
  <c r="BS92" i="4"/>
  <c r="BR92" i="4"/>
  <c r="BN92" i="4"/>
  <c r="BM92" i="4"/>
  <c r="BQ91" i="4"/>
  <c r="BP91" i="4"/>
  <c r="BT91" i="4" s="1"/>
  <c r="BO91" i="4"/>
  <c r="BL91" i="4"/>
  <c r="BK91" i="4"/>
  <c r="BJ91" i="4"/>
  <c r="BI91" i="4"/>
  <c r="BH91" i="4"/>
  <c r="BG91" i="4"/>
  <c r="BF91" i="4"/>
  <c r="BE91" i="4"/>
  <c r="BD91" i="4"/>
  <c r="AZ91" i="4"/>
  <c r="AY91" i="4"/>
  <c r="AX91" i="4"/>
  <c r="AW91" i="4"/>
  <c r="AV91" i="4"/>
  <c r="AU91" i="4"/>
  <c r="AT91" i="4"/>
  <c r="AP91" i="4"/>
  <c r="AO91" i="4"/>
  <c r="AN91" i="4"/>
  <c r="AM91" i="4"/>
  <c r="AL91" i="4"/>
  <c r="AK91" i="4"/>
  <c r="AK69" i="4" s="1"/>
  <c r="AK67" i="4" s="1"/>
  <c r="AJ91" i="4"/>
  <c r="AI91" i="4"/>
  <c r="AH91" i="4"/>
  <c r="AG91" i="4"/>
  <c r="AF91" i="4"/>
  <c r="AE91" i="4"/>
  <c r="AD91" i="4"/>
  <c r="AC91" i="4"/>
  <c r="AC69" i="4" s="1"/>
  <c r="AC67" i="4" s="1"/>
  <c r="AB91" i="4"/>
  <c r="AA91" i="4"/>
  <c r="Z91" i="4"/>
  <c r="Y91" i="4"/>
  <c r="X91" i="4"/>
  <c r="W91" i="4"/>
  <c r="V91" i="4"/>
  <c r="U91" i="4"/>
  <c r="U69" i="4" s="1"/>
  <c r="U67" i="4" s="1"/>
  <c r="Q91" i="4"/>
  <c r="M91" i="4"/>
  <c r="M69" i="4" s="1"/>
  <c r="M67" i="4" s="1"/>
  <c r="L91" i="4"/>
  <c r="K91" i="4"/>
  <c r="I91" i="4"/>
  <c r="H91" i="4"/>
  <c r="G91" i="4"/>
  <c r="F91" i="4"/>
  <c r="E91" i="4"/>
  <c r="D91" i="4"/>
  <c r="C91" i="4"/>
  <c r="BT90" i="4"/>
  <c r="BS90" i="4"/>
  <c r="BR90" i="4"/>
  <c r="BN90" i="4"/>
  <c r="BM90" i="4"/>
  <c r="BT89" i="4"/>
  <c r="BS89" i="4"/>
  <c r="BR89" i="4"/>
  <c r="BN89" i="4"/>
  <c r="BM89" i="4"/>
  <c r="AJ89" i="4"/>
  <c r="AJ87" i="4" s="1"/>
  <c r="AI89" i="4"/>
  <c r="AH89" i="4"/>
  <c r="BT88" i="4"/>
  <c r="BS88" i="4"/>
  <c r="BR88" i="4"/>
  <c r="BN88" i="4"/>
  <c r="BM88" i="4"/>
  <c r="BQ87" i="4"/>
  <c r="BP87" i="4"/>
  <c r="BL87" i="4"/>
  <c r="BS87" i="4" s="1"/>
  <c r="BK87" i="4"/>
  <c r="BJ87" i="4"/>
  <c r="BI87" i="4"/>
  <c r="BH87" i="4"/>
  <c r="BG87" i="4"/>
  <c r="BF87" i="4"/>
  <c r="BE87" i="4"/>
  <c r="BB87" i="4"/>
  <c r="BA87" i="4"/>
  <c r="BA69" i="4" s="1"/>
  <c r="AZ87" i="4"/>
  <c r="AY87" i="4"/>
  <c r="AX87" i="4"/>
  <c r="AW87" i="4"/>
  <c r="AV87" i="4"/>
  <c r="AU87" i="4"/>
  <c r="AT87" i="4"/>
  <c r="AP87" i="4"/>
  <c r="AO87" i="4"/>
  <c r="AN87" i="4"/>
  <c r="AM87" i="4"/>
  <c r="AL87" i="4"/>
  <c r="AK87" i="4"/>
  <c r="AI87" i="4"/>
  <c r="AH87" i="4"/>
  <c r="AG87" i="4"/>
  <c r="AF87" i="4"/>
  <c r="AE87" i="4"/>
  <c r="AD87" i="4"/>
  <c r="AC87" i="4"/>
  <c r="AB87" i="4"/>
  <c r="AA87" i="4"/>
  <c r="Z87" i="4"/>
  <c r="Y87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BT86" i="4"/>
  <c r="BS86" i="4"/>
  <c r="BR86" i="4"/>
  <c r="BO86" i="4"/>
  <c r="BN86" i="4"/>
  <c r="BM86" i="4"/>
  <c r="BT85" i="4"/>
  <c r="BS85" i="4"/>
  <c r="BR85" i="4"/>
  <c r="BN85" i="4"/>
  <c r="BM85" i="4"/>
  <c r="BT84" i="4"/>
  <c r="BS84" i="4"/>
  <c r="BR84" i="4"/>
  <c r="BN84" i="4"/>
  <c r="BM84" i="4"/>
  <c r="BT83" i="4"/>
  <c r="BS83" i="4"/>
  <c r="BR83" i="4"/>
  <c r="BN83" i="4"/>
  <c r="BM83" i="4"/>
  <c r="BT82" i="4"/>
  <c r="BS82" i="4"/>
  <c r="BR82" i="4"/>
  <c r="BN82" i="4"/>
  <c r="BM82" i="4"/>
  <c r="F82" i="4"/>
  <c r="BT81" i="4"/>
  <c r="BS81" i="4"/>
  <c r="BR81" i="4"/>
  <c r="BN81" i="4"/>
  <c r="BM81" i="4"/>
  <c r="BT80" i="4"/>
  <c r="BS80" i="4"/>
  <c r="BR80" i="4"/>
  <c r="BN80" i="4"/>
  <c r="BM80" i="4"/>
  <c r="BT79" i="4"/>
  <c r="BS79" i="4"/>
  <c r="BR79" i="4"/>
  <c r="BN79" i="4"/>
  <c r="BM79" i="4"/>
  <c r="BK79" i="4"/>
  <c r="BT78" i="4"/>
  <c r="BS78" i="4"/>
  <c r="BR78" i="4"/>
  <c r="BN78" i="4"/>
  <c r="BM78" i="4"/>
  <c r="BT77" i="4"/>
  <c r="BS77" i="4"/>
  <c r="BR77" i="4"/>
  <c r="BN77" i="4"/>
  <c r="BM77" i="4"/>
  <c r="BT76" i="4"/>
  <c r="BS76" i="4"/>
  <c r="BR76" i="4"/>
  <c r="BN76" i="4"/>
  <c r="BM76" i="4"/>
  <c r="BQ75" i="4"/>
  <c r="BP75" i="4"/>
  <c r="BT75" i="4" s="1"/>
  <c r="BO75" i="4"/>
  <c r="BL75" i="4"/>
  <c r="BN75" i="4" s="1"/>
  <c r="BK75" i="4"/>
  <c r="BJ75" i="4"/>
  <c r="BI75" i="4"/>
  <c r="BH75" i="4"/>
  <c r="BG75" i="4"/>
  <c r="BF75" i="4"/>
  <c r="BB75" i="4"/>
  <c r="BB69" i="4" s="1"/>
  <c r="BB71" i="4" s="1"/>
  <c r="BA75" i="4"/>
  <c r="AZ75" i="4"/>
  <c r="AY75" i="4"/>
  <c r="AX75" i="4"/>
  <c r="AW75" i="4"/>
  <c r="AV75" i="4"/>
  <c r="AU75" i="4"/>
  <c r="AT75" i="4"/>
  <c r="AP75" i="4"/>
  <c r="AO75" i="4"/>
  <c r="AN75" i="4"/>
  <c r="AM75" i="4"/>
  <c r="AL75" i="4"/>
  <c r="AK75" i="4"/>
  <c r="I75" i="4"/>
  <c r="H75" i="4"/>
  <c r="G75" i="4"/>
  <c r="F75" i="4"/>
  <c r="E75" i="4"/>
  <c r="E69" i="4" s="1"/>
  <c r="E67" i="4" s="1"/>
  <c r="D75" i="4"/>
  <c r="C75" i="4"/>
  <c r="BT74" i="4"/>
  <c r="BS74" i="4"/>
  <c r="BR74" i="4"/>
  <c r="BN74" i="4"/>
  <c r="BM74" i="4"/>
  <c r="Q74" i="4"/>
  <c r="Q72" i="4" s="1"/>
  <c r="Q69" i="4" s="1"/>
  <c r="Q67" i="4" s="1"/>
  <c r="P74" i="4"/>
  <c r="BT73" i="4"/>
  <c r="BS73" i="4"/>
  <c r="BR73" i="4"/>
  <c r="BN73" i="4"/>
  <c r="BM73" i="4"/>
  <c r="BQ72" i="4"/>
  <c r="BQ69" i="4" s="1"/>
  <c r="BQ67" i="4" s="1"/>
  <c r="BP72" i="4"/>
  <c r="BT72" i="4" s="1"/>
  <c r="BO72" i="4"/>
  <c r="BL72" i="4"/>
  <c r="BK72" i="4"/>
  <c r="BK69" i="4" s="1"/>
  <c r="BJ72" i="4"/>
  <c r="BI72" i="4"/>
  <c r="BH72" i="4"/>
  <c r="BH69" i="4" s="1"/>
  <c r="BG72" i="4"/>
  <c r="BG69" i="4" s="1"/>
  <c r="BF72" i="4"/>
  <c r="AZ72" i="4"/>
  <c r="AY72" i="4"/>
  <c r="AX72" i="4"/>
  <c r="AW72" i="4"/>
  <c r="AV72" i="4"/>
  <c r="AU72" i="4"/>
  <c r="AT72" i="4"/>
  <c r="AP72" i="4"/>
  <c r="AO72" i="4"/>
  <c r="AN72" i="4"/>
  <c r="AM72" i="4"/>
  <c r="AM69" i="4" s="1"/>
  <c r="AM67" i="4" s="1"/>
  <c r="AL72" i="4"/>
  <c r="AK72" i="4"/>
  <c r="AJ72" i="4"/>
  <c r="AI72" i="4"/>
  <c r="AI69" i="4" s="1"/>
  <c r="AI67" i="4" s="1"/>
  <c r="AH72" i="4"/>
  <c r="AG72" i="4"/>
  <c r="AF72" i="4"/>
  <c r="AF69" i="4" s="1"/>
  <c r="AF67" i="4" s="1"/>
  <c r="AE72" i="4"/>
  <c r="AE69" i="4" s="1"/>
  <c r="AE67" i="4" s="1"/>
  <c r="AD72" i="4"/>
  <c r="AC72" i="4"/>
  <c r="AB72" i="4"/>
  <c r="AB69" i="4" s="1"/>
  <c r="AB67" i="4" s="1"/>
  <c r="AA72" i="4"/>
  <c r="AA69" i="4" s="1"/>
  <c r="AA67" i="4" s="1"/>
  <c r="Z72" i="4"/>
  <c r="Y72" i="4"/>
  <c r="X72" i="4"/>
  <c r="X69" i="4" s="1"/>
  <c r="X67" i="4" s="1"/>
  <c r="W72" i="4"/>
  <c r="W69" i="4" s="1"/>
  <c r="W67" i="4" s="1"/>
  <c r="V72" i="4"/>
  <c r="U72" i="4"/>
  <c r="T72" i="4"/>
  <c r="T69" i="4" s="1"/>
  <c r="T67" i="4" s="1"/>
  <c r="S72" i="4"/>
  <c r="S69" i="4" s="1"/>
  <c r="S67" i="4" s="1"/>
  <c r="R72" i="4"/>
  <c r="P72" i="4"/>
  <c r="P69" i="4" s="1"/>
  <c r="P67" i="4" s="1"/>
  <c r="O72" i="4"/>
  <c r="O69" i="4" s="1"/>
  <c r="O67" i="4" s="1"/>
  <c r="N72" i="4"/>
  <c r="M72" i="4"/>
  <c r="L72" i="4"/>
  <c r="L69" i="4" s="1"/>
  <c r="L67" i="4" s="1"/>
  <c r="K72" i="4"/>
  <c r="K69" i="4" s="1"/>
  <c r="K67" i="4" s="1"/>
  <c r="J72" i="4"/>
  <c r="I72" i="4"/>
  <c r="H72" i="4"/>
  <c r="H69" i="4" s="1"/>
  <c r="H67" i="4" s="1"/>
  <c r="G72" i="4"/>
  <c r="G69" i="4" s="1"/>
  <c r="G67" i="4" s="1"/>
  <c r="F72" i="4"/>
  <c r="E72" i="4"/>
  <c r="D72" i="4"/>
  <c r="D69" i="4" s="1"/>
  <c r="D67" i="4" s="1"/>
  <c r="C72" i="4"/>
  <c r="C69" i="4" s="1"/>
  <c r="C67" i="4" s="1"/>
  <c r="BT71" i="4"/>
  <c r="BT70" i="4"/>
  <c r="BS70" i="4"/>
  <c r="BR70" i="4"/>
  <c r="BN70" i="4"/>
  <c r="BM70" i="4"/>
  <c r="BO69" i="4"/>
  <c r="BO67" i="4" s="1"/>
  <c r="BI69" i="4"/>
  <c r="BE69" i="4"/>
  <c r="BD69" i="4"/>
  <c r="BD71" i="4" s="1"/>
  <c r="AW69" i="4"/>
  <c r="AW67" i="4" s="1"/>
  <c r="AS69" i="4"/>
  <c r="AS67" i="4" s="1"/>
  <c r="AR69" i="4"/>
  <c r="AQ69" i="4"/>
  <c r="AO69" i="4"/>
  <c r="AO67" i="4" s="1"/>
  <c r="AG69" i="4"/>
  <c r="AG67" i="4" s="1"/>
  <c r="Y69" i="4"/>
  <c r="Y67" i="4" s="1"/>
  <c r="I69" i="4"/>
  <c r="I67" i="4" s="1"/>
  <c r="BI67" i="4"/>
  <c r="BH67" i="4"/>
  <c r="BE67" i="4"/>
  <c r="BD67" i="4"/>
  <c r="AR67" i="4"/>
  <c r="AQ67" i="4"/>
  <c r="BT66" i="4"/>
  <c r="BS66" i="4"/>
  <c r="BR66" i="4"/>
  <c r="BN66" i="4"/>
  <c r="BM66" i="4"/>
  <c r="BT65" i="4"/>
  <c r="BS65" i="4"/>
  <c r="BR65" i="4"/>
  <c r="BN65" i="4"/>
  <c r="BM65" i="4"/>
  <c r="BT64" i="4"/>
  <c r="BS64" i="4"/>
  <c r="BR64" i="4"/>
  <c r="BN64" i="4"/>
  <c r="BM64" i="4"/>
  <c r="BQ63" i="4"/>
  <c r="BP63" i="4"/>
  <c r="BS63" i="4" s="1"/>
  <c r="BO63" i="4"/>
  <c r="BM63" i="4"/>
  <c r="BL63" i="4"/>
  <c r="BF63" i="4"/>
  <c r="AM63" i="4"/>
  <c r="Y63" i="4"/>
  <c r="X63" i="4"/>
  <c r="U63" i="4"/>
  <c r="T63" i="4"/>
  <c r="Q63" i="4"/>
  <c r="P63" i="4"/>
  <c r="M63" i="4"/>
  <c r="L63" i="4"/>
  <c r="BT62" i="4"/>
  <c r="BS62" i="4"/>
  <c r="BR62" i="4"/>
  <c r="BN62" i="4"/>
  <c r="BM62" i="4"/>
  <c r="BT61" i="4"/>
  <c r="BS61" i="4"/>
  <c r="BR61" i="4"/>
  <c r="BN61" i="4"/>
  <c r="BM61" i="4"/>
  <c r="BT60" i="4"/>
  <c r="BS60" i="4"/>
  <c r="BR60" i="4"/>
  <c r="BN60" i="4"/>
  <c r="BM60" i="4"/>
  <c r="BT59" i="4"/>
  <c r="BS59" i="4"/>
  <c r="BR59" i="4"/>
  <c r="BN59" i="4"/>
  <c r="BM59" i="4"/>
  <c r="BT58" i="4"/>
  <c r="BS58" i="4"/>
  <c r="BR58" i="4"/>
  <c r="BN58" i="4"/>
  <c r="BM58" i="4"/>
  <c r="BT57" i="4"/>
  <c r="BS57" i="4"/>
  <c r="BR57" i="4"/>
  <c r="BN57" i="4"/>
  <c r="BM57" i="4"/>
  <c r="BT56" i="4"/>
  <c r="BS56" i="4"/>
  <c r="BR56" i="4"/>
  <c r="BN56" i="4"/>
  <c r="BM56" i="4"/>
  <c r="BT55" i="4"/>
  <c r="BS55" i="4"/>
  <c r="BR55" i="4"/>
  <c r="BN55" i="4"/>
  <c r="BM55" i="4"/>
  <c r="BQ54" i="4"/>
  <c r="BP54" i="4"/>
  <c r="BO54" i="4"/>
  <c r="BO36" i="4" s="1"/>
  <c r="BL54" i="4"/>
  <c r="BM54" i="4" s="1"/>
  <c r="BK54" i="4"/>
  <c r="BJ54" i="4"/>
  <c r="BI54" i="4"/>
  <c r="BH54" i="4"/>
  <c r="BG54" i="4"/>
  <c r="BF54" i="4"/>
  <c r="BE54" i="4"/>
  <c r="BE36" i="4" s="1"/>
  <c r="BD54" i="4"/>
  <c r="AZ54" i="4"/>
  <c r="AY54" i="4"/>
  <c r="AX54" i="4"/>
  <c r="AW54" i="4"/>
  <c r="AV54" i="4"/>
  <c r="AU54" i="4"/>
  <c r="AT54" i="4"/>
  <c r="AP54" i="4"/>
  <c r="AO54" i="4"/>
  <c r="AN54" i="4"/>
  <c r="AM54" i="4"/>
  <c r="AL54" i="4"/>
  <c r="AK54" i="4"/>
  <c r="AJ54" i="4"/>
  <c r="AI54" i="4"/>
  <c r="AH54" i="4"/>
  <c r="AG54" i="4"/>
  <c r="AF54" i="4"/>
  <c r="AE54" i="4"/>
  <c r="AD54" i="4"/>
  <c r="AC54" i="4"/>
  <c r="AB54" i="4"/>
  <c r="AA54" i="4"/>
  <c r="Z54" i="4"/>
  <c r="Y54" i="4"/>
  <c r="X54" i="4"/>
  <c r="W54" i="4"/>
  <c r="V54" i="4"/>
  <c r="U54" i="4"/>
  <c r="T54" i="4"/>
  <c r="S54" i="4"/>
  <c r="R54" i="4"/>
  <c r="Q54" i="4"/>
  <c r="P54" i="4"/>
  <c r="O54" i="4"/>
  <c r="O6" i="4" s="1"/>
  <c r="N54" i="4"/>
  <c r="M54" i="4"/>
  <c r="L54" i="4"/>
  <c r="K54" i="4"/>
  <c r="J54" i="4"/>
  <c r="I54" i="4"/>
  <c r="H54" i="4"/>
  <c r="G54" i="4"/>
  <c r="G6" i="4" s="1"/>
  <c r="F54" i="4"/>
  <c r="E54" i="4"/>
  <c r="D54" i="4"/>
  <c r="C54" i="4"/>
  <c r="BT53" i="4"/>
  <c r="BS53" i="4"/>
  <c r="BR53" i="4"/>
  <c r="BN53" i="4"/>
  <c r="BM53" i="4"/>
  <c r="BT52" i="4"/>
  <c r="BS52" i="4"/>
  <c r="BR52" i="4"/>
  <c r="BN52" i="4"/>
  <c r="BM52" i="4"/>
  <c r="BT51" i="4"/>
  <c r="BS51" i="4"/>
  <c r="BR51" i="4"/>
  <c r="BN51" i="4"/>
  <c r="BM51" i="4"/>
  <c r="BT50" i="4"/>
  <c r="BS50" i="4"/>
  <c r="BR50" i="4"/>
  <c r="BN50" i="4"/>
  <c r="BM50" i="4"/>
  <c r="U50" i="4"/>
  <c r="BT49" i="4"/>
  <c r="BS49" i="4"/>
  <c r="BQ49" i="4"/>
  <c r="BO49" i="4"/>
  <c r="BK49" i="4"/>
  <c r="BJ49" i="4"/>
  <c r="BI49" i="4"/>
  <c r="BI36" i="4" s="1"/>
  <c r="BH49" i="4"/>
  <c r="BG49" i="4"/>
  <c r="BN49" i="4" s="1"/>
  <c r="AZ49" i="4"/>
  <c r="AY49" i="4"/>
  <c r="AX49" i="4"/>
  <c r="AV49" i="4"/>
  <c r="AU49" i="4"/>
  <c r="AT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E6" i="4" s="1"/>
  <c r="AD49" i="4"/>
  <c r="AC49" i="4"/>
  <c r="AB49" i="4"/>
  <c r="AA49" i="4"/>
  <c r="Z49" i="4"/>
  <c r="Y49" i="4"/>
  <c r="X49" i="4"/>
  <c r="W49" i="4"/>
  <c r="W6" i="4" s="1"/>
  <c r="V49" i="4"/>
  <c r="U49" i="4"/>
  <c r="T49" i="4"/>
  <c r="S49" i="4"/>
  <c r="R49" i="4"/>
  <c r="Q49" i="4"/>
  <c r="O49" i="4"/>
  <c r="N49" i="4"/>
  <c r="N36" i="4" s="1"/>
  <c r="M49" i="4"/>
  <c r="L49" i="4"/>
  <c r="K49" i="4"/>
  <c r="J49" i="4"/>
  <c r="J36" i="4" s="1"/>
  <c r="I49" i="4"/>
  <c r="H49" i="4"/>
  <c r="G49" i="4"/>
  <c r="F49" i="4"/>
  <c r="F36" i="4" s="1"/>
  <c r="E49" i="4"/>
  <c r="D49" i="4"/>
  <c r="C49" i="4"/>
  <c r="BT48" i="4"/>
  <c r="BS48" i="4"/>
  <c r="BR48" i="4"/>
  <c r="BN48" i="4"/>
  <c r="BM48" i="4"/>
  <c r="BT47" i="4"/>
  <c r="BS47" i="4"/>
  <c r="BR47" i="4"/>
  <c r="BN47" i="4"/>
  <c r="BM47" i="4"/>
  <c r="BT46" i="4"/>
  <c r="BS46" i="4"/>
  <c r="BR46" i="4"/>
  <c r="BN46" i="4"/>
  <c r="BM46" i="4"/>
  <c r="BQ45" i="4"/>
  <c r="BP45" i="4"/>
  <c r="BO45" i="4"/>
  <c r="BL45" i="4"/>
  <c r="BK45" i="4"/>
  <c r="BJ45" i="4"/>
  <c r="BI45" i="4"/>
  <c r="BH45" i="4"/>
  <c r="BG45" i="4"/>
  <c r="BM45" i="4" s="1"/>
  <c r="BF45" i="4"/>
  <c r="BE45" i="4"/>
  <c r="AZ45" i="4"/>
  <c r="AY45" i="4"/>
  <c r="AX45" i="4"/>
  <c r="AW45" i="4"/>
  <c r="AV45" i="4"/>
  <c r="AU45" i="4"/>
  <c r="AT45" i="4"/>
  <c r="AP45" i="4"/>
  <c r="AO45" i="4"/>
  <c r="AN45" i="4"/>
  <c r="AN36" i="4" s="1"/>
  <c r="AM45" i="4"/>
  <c r="AL45" i="4"/>
  <c r="AK45" i="4"/>
  <c r="AJ45" i="4"/>
  <c r="AJ36" i="4" s="1"/>
  <c r="AI45" i="4"/>
  <c r="AH45" i="4"/>
  <c r="AG45" i="4"/>
  <c r="AF45" i="4"/>
  <c r="AF36" i="4" s="1"/>
  <c r="AE45" i="4"/>
  <c r="AD45" i="4"/>
  <c r="AC45" i="4"/>
  <c r="AB45" i="4"/>
  <c r="AB36" i="4" s="1"/>
  <c r="AA45" i="4"/>
  <c r="Z45" i="4"/>
  <c r="Y45" i="4"/>
  <c r="X45" i="4"/>
  <c r="X36" i="4" s="1"/>
  <c r="W45" i="4"/>
  <c r="V45" i="4"/>
  <c r="U45" i="4"/>
  <c r="T45" i="4"/>
  <c r="T36" i="4" s="1"/>
  <c r="S45" i="4"/>
  <c r="R45" i="4"/>
  <c r="Q45" i="4"/>
  <c r="P45" i="4"/>
  <c r="P36" i="4" s="1"/>
  <c r="O45" i="4"/>
  <c r="N45" i="4"/>
  <c r="M45" i="4"/>
  <c r="L45" i="4"/>
  <c r="L36" i="4" s="1"/>
  <c r="K45" i="4"/>
  <c r="J45" i="4"/>
  <c r="I45" i="4"/>
  <c r="H45" i="4"/>
  <c r="H36" i="4" s="1"/>
  <c r="G45" i="4"/>
  <c r="F45" i="4"/>
  <c r="E45" i="4"/>
  <c r="D45" i="4"/>
  <c r="D36" i="4" s="1"/>
  <c r="C45" i="4"/>
  <c r="BT44" i="4"/>
  <c r="BS44" i="4"/>
  <c r="BR44" i="4"/>
  <c r="BN44" i="4"/>
  <c r="BM44" i="4"/>
  <c r="BT43" i="4"/>
  <c r="BS43" i="4"/>
  <c r="BR43" i="4"/>
  <c r="BN43" i="4"/>
  <c r="BM43" i="4"/>
  <c r="AC43" i="4"/>
  <c r="AC38" i="4" s="1"/>
  <c r="AC36" i="4" s="1"/>
  <c r="U43" i="4"/>
  <c r="BP42" i="4"/>
  <c r="BS42" i="4" s="1"/>
  <c r="BN42" i="4"/>
  <c r="BM42" i="4"/>
  <c r="BT41" i="4"/>
  <c r="BS41" i="4"/>
  <c r="BR41" i="4"/>
  <c r="BQ41" i="4"/>
  <c r="BN41" i="4"/>
  <c r="BM41" i="4"/>
  <c r="AG41" i="4"/>
  <c r="AG38" i="4" s="1"/>
  <c r="BT40" i="4"/>
  <c r="BS40" i="4"/>
  <c r="BR40" i="4"/>
  <c r="BN40" i="4"/>
  <c r="BM40" i="4"/>
  <c r="BT39" i="4"/>
  <c r="BS39" i="4"/>
  <c r="BR39" i="4"/>
  <c r="BN39" i="4"/>
  <c r="BM39" i="4"/>
  <c r="BQ38" i="4"/>
  <c r="BP38" i="4"/>
  <c r="BT38" i="4" s="1"/>
  <c r="BO38" i="4"/>
  <c r="BL38" i="4"/>
  <c r="BN38" i="4" s="1"/>
  <c r="BK38" i="4"/>
  <c r="BJ38" i="4"/>
  <c r="BI38" i="4"/>
  <c r="BH38" i="4"/>
  <c r="BH36" i="4" s="1"/>
  <c r="BG38" i="4"/>
  <c r="BF38" i="4"/>
  <c r="BE38" i="4"/>
  <c r="BD38" i="4"/>
  <c r="BD36" i="4" s="1"/>
  <c r="BC38" i="4"/>
  <c r="AZ38" i="4"/>
  <c r="AY38" i="4"/>
  <c r="AX38" i="4"/>
  <c r="AX36" i="4" s="1"/>
  <c r="AW38" i="4"/>
  <c r="AV38" i="4"/>
  <c r="AU38" i="4"/>
  <c r="AT38" i="4"/>
  <c r="AT36" i="4" s="1"/>
  <c r="AP38" i="4"/>
  <c r="AO38" i="4"/>
  <c r="AN38" i="4"/>
  <c r="AM38" i="4"/>
  <c r="AL38" i="4"/>
  <c r="AK38" i="4"/>
  <c r="AJ38" i="4"/>
  <c r="AI38" i="4"/>
  <c r="AI6" i="4" s="1"/>
  <c r="AH38" i="4"/>
  <c r="AF38" i="4"/>
  <c r="AE38" i="4"/>
  <c r="AD38" i="4"/>
  <c r="AD36" i="4" s="1"/>
  <c r="AB38" i="4"/>
  <c r="AA38" i="4"/>
  <c r="Z38" i="4"/>
  <c r="Y38" i="4"/>
  <c r="Y36" i="4" s="1"/>
  <c r="X38" i="4"/>
  <c r="W38" i="4"/>
  <c r="V38" i="4"/>
  <c r="U38" i="4"/>
  <c r="U36" i="4" s="1"/>
  <c r="T38" i="4"/>
  <c r="S38" i="4"/>
  <c r="R38" i="4"/>
  <c r="Q38" i="4"/>
  <c r="Q36" i="4" s="1"/>
  <c r="P38" i="4"/>
  <c r="O38" i="4"/>
  <c r="N38" i="4"/>
  <c r="M38" i="4"/>
  <c r="M36" i="4" s="1"/>
  <c r="L38" i="4"/>
  <c r="K38" i="4"/>
  <c r="J38" i="4"/>
  <c r="I38" i="4"/>
  <c r="I36" i="4" s="1"/>
  <c r="H38" i="4"/>
  <c r="G38" i="4"/>
  <c r="F38" i="4"/>
  <c r="E38" i="4"/>
  <c r="E36" i="4" s="1"/>
  <c r="D38" i="4"/>
  <c r="C38" i="4"/>
  <c r="BQ36" i="4"/>
  <c r="BP36" i="4"/>
  <c r="BK36" i="4"/>
  <c r="BJ36" i="4"/>
  <c r="BG36" i="4"/>
  <c r="BF36" i="4"/>
  <c r="BC36" i="4"/>
  <c r="BB36" i="4"/>
  <c r="BA36" i="4"/>
  <c r="AZ36" i="4"/>
  <c r="AY36" i="4"/>
  <c r="AW36" i="4"/>
  <c r="AV36" i="4"/>
  <c r="AU36" i="4"/>
  <c r="AS36" i="4"/>
  <c r="AR36" i="4"/>
  <c r="AQ36" i="4"/>
  <c r="AP36" i="4"/>
  <c r="AO36" i="4"/>
  <c r="AM36" i="4"/>
  <c r="AL36" i="4"/>
  <c r="AK36" i="4"/>
  <c r="AI36" i="4"/>
  <c r="AH36" i="4"/>
  <c r="AG36" i="4"/>
  <c r="AE36" i="4"/>
  <c r="AA36" i="4"/>
  <c r="Z36" i="4"/>
  <c r="W36" i="4"/>
  <c r="V36" i="4"/>
  <c r="S36" i="4"/>
  <c r="R36" i="4"/>
  <c r="O36" i="4"/>
  <c r="K36" i="4"/>
  <c r="G36" i="4"/>
  <c r="C36" i="4"/>
  <c r="BT35" i="4"/>
  <c r="BS35" i="4"/>
  <c r="BR35" i="4"/>
  <c r="BN35" i="4"/>
  <c r="BM35" i="4"/>
  <c r="BT34" i="4"/>
  <c r="BS34" i="4"/>
  <c r="BR34" i="4"/>
  <c r="BN34" i="4"/>
  <c r="BM34" i="4"/>
  <c r="BQ33" i="4"/>
  <c r="BP33" i="4"/>
  <c r="BT33" i="4" s="1"/>
  <c r="BO33" i="4"/>
  <c r="BL33" i="4"/>
  <c r="BK33" i="4"/>
  <c r="BJ33" i="4"/>
  <c r="BI33" i="4"/>
  <c r="BH33" i="4"/>
  <c r="BG33" i="4"/>
  <c r="BM33" i="4" s="1"/>
  <c r="BF33" i="4"/>
  <c r="BE33" i="4"/>
  <c r="AZ33" i="4"/>
  <c r="AY33" i="4"/>
  <c r="AX33" i="4"/>
  <c r="AW33" i="4"/>
  <c r="AV33" i="4"/>
  <c r="AU33" i="4"/>
  <c r="AT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T32" i="4"/>
  <c r="BS32" i="4"/>
  <c r="BR32" i="4"/>
  <c r="BN32" i="4"/>
  <c r="BM32" i="4"/>
  <c r="BT31" i="4"/>
  <c r="BS31" i="4"/>
  <c r="BR31" i="4"/>
  <c r="BN31" i="4"/>
  <c r="BM31" i="4"/>
  <c r="AV31" i="4"/>
  <c r="AV28" i="4" s="1"/>
  <c r="AB31" i="4"/>
  <c r="T31" i="4"/>
  <c r="Q31" i="4"/>
  <c r="P31" i="4"/>
  <c r="M31" i="4"/>
  <c r="L31" i="4"/>
  <c r="I31" i="4"/>
  <c r="F31" i="4"/>
  <c r="F28" i="4" s="1"/>
  <c r="BT30" i="4"/>
  <c r="BS30" i="4"/>
  <c r="BR30" i="4"/>
  <c r="BN30" i="4"/>
  <c r="BM30" i="4"/>
  <c r="BT29" i="4"/>
  <c r="BS29" i="4"/>
  <c r="BR29" i="4"/>
  <c r="BN29" i="4"/>
  <c r="BM29" i="4"/>
  <c r="AV29" i="4"/>
  <c r="AB29" i="4"/>
  <c r="AB28" i="4" s="1"/>
  <c r="T29" i="4"/>
  <c r="Q29" i="4"/>
  <c r="P29" i="4"/>
  <c r="L29" i="4"/>
  <c r="I29" i="4"/>
  <c r="F29" i="4"/>
  <c r="BQ28" i="4"/>
  <c r="BQ21" i="4" s="1"/>
  <c r="BP28" i="4"/>
  <c r="BO28" i="4"/>
  <c r="BL28" i="4"/>
  <c r="BK28" i="4"/>
  <c r="BJ28" i="4"/>
  <c r="BI28" i="4"/>
  <c r="BH28" i="4"/>
  <c r="BG28" i="4"/>
  <c r="BM28" i="4" s="1"/>
  <c r="BF28" i="4"/>
  <c r="BE28" i="4"/>
  <c r="BD28" i="4"/>
  <c r="BC28" i="4"/>
  <c r="AZ28" i="4"/>
  <c r="AY28" i="4"/>
  <c r="AX28" i="4"/>
  <c r="AW28" i="4"/>
  <c r="AW21" i="4" s="1"/>
  <c r="AU28" i="4"/>
  <c r="AT28" i="4"/>
  <c r="AP28" i="4"/>
  <c r="AP21" i="4" s="1"/>
  <c r="AO28" i="4"/>
  <c r="AN28" i="4"/>
  <c r="AM28" i="4"/>
  <c r="AL28" i="4"/>
  <c r="AK28" i="4"/>
  <c r="AJ28" i="4"/>
  <c r="AI28" i="4"/>
  <c r="AH28" i="4"/>
  <c r="AH21" i="4" s="1"/>
  <c r="AG28" i="4"/>
  <c r="AF28" i="4"/>
  <c r="AE28" i="4"/>
  <c r="AD28" i="4"/>
  <c r="AC28" i="4"/>
  <c r="AA28" i="4"/>
  <c r="Z28" i="4"/>
  <c r="Y28" i="4"/>
  <c r="X28" i="4"/>
  <c r="W28" i="4"/>
  <c r="V28" i="4"/>
  <c r="V21" i="4" s="1"/>
  <c r="U28" i="4"/>
  <c r="T28" i="4"/>
  <c r="S28" i="4"/>
  <c r="R28" i="4"/>
  <c r="P28" i="4"/>
  <c r="P21" i="4" s="1"/>
  <c r="O28" i="4"/>
  <c r="N28" i="4"/>
  <c r="M28" i="4"/>
  <c r="L28" i="4"/>
  <c r="L21" i="4" s="1"/>
  <c r="K28" i="4"/>
  <c r="J28" i="4"/>
  <c r="I28" i="4"/>
  <c r="H28" i="4"/>
  <c r="H21" i="4" s="1"/>
  <c r="G28" i="4"/>
  <c r="E28" i="4"/>
  <c r="D28" i="4"/>
  <c r="D21" i="4" s="1"/>
  <c r="C28" i="4"/>
  <c r="BT27" i="4"/>
  <c r="BS27" i="4"/>
  <c r="BR27" i="4"/>
  <c r="BN27" i="4"/>
  <c r="BM27" i="4"/>
  <c r="AV27" i="4"/>
  <c r="BT26" i="4"/>
  <c r="BS26" i="4"/>
  <c r="BR26" i="4"/>
  <c r="BN26" i="4"/>
  <c r="BM26" i="4"/>
  <c r="AV26" i="4"/>
  <c r="BQ25" i="4"/>
  <c r="BP25" i="4"/>
  <c r="BL25" i="4"/>
  <c r="BN25" i="4" s="1"/>
  <c r="BK25" i="4"/>
  <c r="BJ25" i="4"/>
  <c r="BI25" i="4"/>
  <c r="BH25" i="4"/>
  <c r="BG25" i="4"/>
  <c r="BF25" i="4"/>
  <c r="BE25" i="4"/>
  <c r="BD25" i="4"/>
  <c r="BC25" i="4"/>
  <c r="BA25" i="4"/>
  <c r="AZ25" i="4"/>
  <c r="AY25" i="4"/>
  <c r="AY21" i="4" s="1"/>
  <c r="AX25" i="4"/>
  <c r="AW25" i="4"/>
  <c r="AV25" i="4"/>
  <c r="AU25" i="4"/>
  <c r="AT25" i="4"/>
  <c r="AS25" i="4"/>
  <c r="AM25" i="4"/>
  <c r="AL25" i="4"/>
  <c r="AL21" i="4" s="1"/>
  <c r="AK25" i="4"/>
  <c r="BT24" i="4"/>
  <c r="BS24" i="4"/>
  <c r="BR24" i="4"/>
  <c r="BN24" i="4"/>
  <c r="BM24" i="4"/>
  <c r="BT23" i="4"/>
  <c r="BS23" i="4"/>
  <c r="BR23" i="4"/>
  <c r="BN23" i="4"/>
  <c r="BM23" i="4"/>
  <c r="AV23" i="4"/>
  <c r="AB23" i="4"/>
  <c r="AB22" i="4" s="1"/>
  <c r="T23" i="4"/>
  <c r="Q23" i="4"/>
  <c r="P23" i="4"/>
  <c r="M23" i="4"/>
  <c r="L23" i="4"/>
  <c r="I23" i="4"/>
  <c r="F23" i="4"/>
  <c r="F22" i="4" s="1"/>
  <c r="BQ22" i="4"/>
  <c r="BP22" i="4"/>
  <c r="BO22" i="4"/>
  <c r="BL22" i="4"/>
  <c r="BM22" i="4" s="1"/>
  <c r="BK22" i="4"/>
  <c r="BJ22" i="4"/>
  <c r="BJ21" i="4" s="1"/>
  <c r="BI22" i="4"/>
  <c r="BI21" i="4" s="1"/>
  <c r="BI6" i="4" s="1"/>
  <c r="BH22" i="4"/>
  <c r="BH21" i="4" s="1"/>
  <c r="BH7" i="4" s="1"/>
  <c r="BG22" i="4"/>
  <c r="BF22" i="4"/>
  <c r="BF21" i="4" s="1"/>
  <c r="BE22" i="4"/>
  <c r="BD22" i="4"/>
  <c r="BD21" i="4" s="1"/>
  <c r="BD7" i="4" s="1"/>
  <c r="BC22" i="4"/>
  <c r="BB22" i="4"/>
  <c r="BB21" i="4" s="1"/>
  <c r="BB7" i="4" s="1"/>
  <c r="BA22" i="4"/>
  <c r="BA21" i="4" s="1"/>
  <c r="AZ22" i="4"/>
  <c r="AZ21" i="4" s="1"/>
  <c r="AZ7" i="4" s="1"/>
  <c r="AY22" i="4"/>
  <c r="AX22" i="4"/>
  <c r="AW22" i="4"/>
  <c r="AV22" i="4"/>
  <c r="AU22" i="4"/>
  <c r="AT22" i="4"/>
  <c r="AT21" i="4" s="1"/>
  <c r="AP22" i="4"/>
  <c r="AO22" i="4"/>
  <c r="AO21" i="4" s="1"/>
  <c r="AO7" i="4" s="1"/>
  <c r="AN22" i="4"/>
  <c r="AM22" i="4"/>
  <c r="AL22" i="4"/>
  <c r="AK22" i="4"/>
  <c r="AK21" i="4" s="1"/>
  <c r="AJ22" i="4"/>
  <c r="AI22" i="4"/>
  <c r="AI21" i="4" s="1"/>
  <c r="AH22" i="4"/>
  <c r="AG22" i="4"/>
  <c r="AG21" i="4" s="1"/>
  <c r="AF22" i="4"/>
  <c r="AE22" i="4"/>
  <c r="AE21" i="4" s="1"/>
  <c r="AD22" i="4"/>
  <c r="AC22" i="4"/>
  <c r="AC21" i="4" s="1"/>
  <c r="AA22" i="4"/>
  <c r="AA21" i="4" s="1"/>
  <c r="Z22" i="4"/>
  <c r="Y22" i="4"/>
  <c r="X22" i="4"/>
  <c r="X21" i="4" s="1"/>
  <c r="W22" i="4"/>
  <c r="W21" i="4" s="1"/>
  <c r="V22" i="4"/>
  <c r="U22" i="4"/>
  <c r="T22" i="4"/>
  <c r="T21" i="4" s="1"/>
  <c r="S22" i="4"/>
  <c r="S21" i="4" s="1"/>
  <c r="R22" i="4"/>
  <c r="Q22" i="4"/>
  <c r="P22" i="4"/>
  <c r="O22" i="4"/>
  <c r="O21" i="4" s="1"/>
  <c r="N22" i="4"/>
  <c r="M22" i="4"/>
  <c r="M21" i="4" s="1"/>
  <c r="L22" i="4"/>
  <c r="K22" i="4"/>
  <c r="K21" i="4" s="1"/>
  <c r="J22" i="4"/>
  <c r="I22" i="4"/>
  <c r="I21" i="4" s="1"/>
  <c r="H22" i="4"/>
  <c r="G22" i="4"/>
  <c r="G21" i="4" s="1"/>
  <c r="E22" i="4"/>
  <c r="E21" i="4" s="1"/>
  <c r="D22" i="4"/>
  <c r="C22" i="4"/>
  <c r="C21" i="4" s="1"/>
  <c r="BO21" i="4"/>
  <c r="BK21" i="4"/>
  <c r="BE21" i="4"/>
  <c r="BE6" i="4" s="1"/>
  <c r="BC21" i="4"/>
  <c r="AU21" i="4"/>
  <c r="AN21" i="4"/>
  <c r="AJ21" i="4"/>
  <c r="AF21" i="4"/>
  <c r="AD21" i="4"/>
  <c r="Z21" i="4"/>
  <c r="R21" i="4"/>
  <c r="N21" i="4"/>
  <c r="J21" i="4"/>
  <c r="BT20" i="4"/>
  <c r="BS20" i="4"/>
  <c r="BR20" i="4"/>
  <c r="BN20" i="4"/>
  <c r="BM20" i="4"/>
  <c r="AV20" i="4"/>
  <c r="AC20" i="4"/>
  <c r="AB20" i="4"/>
  <c r="T20" i="4"/>
  <c r="M20" i="4"/>
  <c r="L20" i="4"/>
  <c r="BT19" i="4"/>
  <c r="BS19" i="4"/>
  <c r="BR19" i="4"/>
  <c r="BN19" i="4"/>
  <c r="BM19" i="4"/>
  <c r="BT18" i="4"/>
  <c r="BS18" i="4"/>
  <c r="BR18" i="4"/>
  <c r="BN18" i="4"/>
  <c r="BM18" i="4"/>
  <c r="BT17" i="4"/>
  <c r="BS17" i="4"/>
  <c r="BR17" i="4"/>
  <c r="BN17" i="4"/>
  <c r="BM17" i="4"/>
  <c r="BT16" i="4"/>
  <c r="BS16" i="4"/>
  <c r="BR16" i="4"/>
  <c r="BN16" i="4"/>
  <c r="BM16" i="4"/>
  <c r="BQ15" i="4"/>
  <c r="BP15" i="4"/>
  <c r="BL15" i="4"/>
  <c r="BK15" i="4"/>
  <c r="BJ15" i="4"/>
  <c r="BJ6" i="4" s="1"/>
  <c r="BI15" i="4"/>
  <c r="BH15" i="4"/>
  <c r="BG15" i="4"/>
  <c r="BF15" i="4"/>
  <c r="BF6" i="4" s="1"/>
  <c r="BE15" i="4"/>
  <c r="BD15" i="4"/>
  <c r="BC15" i="4"/>
  <c r="AZ15" i="4"/>
  <c r="AY15" i="4"/>
  <c r="AX15" i="4"/>
  <c r="AW15" i="4"/>
  <c r="AV15" i="4"/>
  <c r="AU15" i="4"/>
  <c r="AT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BQ14" i="4"/>
  <c r="BQ9" i="4" s="1"/>
  <c r="BP14" i="4"/>
  <c r="BS14" i="4" s="1"/>
  <c r="BN14" i="4"/>
  <c r="BM14" i="4"/>
  <c r="BT13" i="4"/>
  <c r="BS13" i="4"/>
  <c r="BR13" i="4"/>
  <c r="BN13" i="4"/>
  <c r="BM13" i="4"/>
  <c r="BT12" i="4"/>
  <c r="BS12" i="4"/>
  <c r="BR12" i="4"/>
  <c r="BN12" i="4"/>
  <c r="BM12" i="4"/>
  <c r="AV12" i="4"/>
  <c r="AM12" i="4"/>
  <c r="AL12" i="4"/>
  <c r="AC12" i="4"/>
  <c r="AB12" i="4"/>
  <c r="T12" i="4"/>
  <c r="Q12" i="4"/>
  <c r="P12" i="4"/>
  <c r="M12" i="4"/>
  <c r="L12" i="4"/>
  <c r="I12" i="4"/>
  <c r="BT11" i="4"/>
  <c r="BS11" i="4"/>
  <c r="BR11" i="4"/>
  <c r="BN11" i="4"/>
  <c r="BM11" i="4"/>
  <c r="AV11" i="4"/>
  <c r="AM11" i="4"/>
  <c r="AL11" i="4"/>
  <c r="AC11" i="4"/>
  <c r="AB11" i="4"/>
  <c r="T11" i="4"/>
  <c r="Q11" i="4"/>
  <c r="P11" i="4"/>
  <c r="M11" i="4"/>
  <c r="L11" i="4"/>
  <c r="I11" i="4"/>
  <c r="F11" i="4"/>
  <c r="BT10" i="4"/>
  <c r="BS10" i="4"/>
  <c r="BR10" i="4"/>
  <c r="BN10" i="4"/>
  <c r="BM10" i="4"/>
  <c r="AW10" i="4"/>
  <c r="AV10" i="4"/>
  <c r="AV9" i="4" s="1"/>
  <c r="AC10" i="4"/>
  <c r="AC9" i="4" s="1"/>
  <c r="AC7" i="4" s="1"/>
  <c r="AB10" i="4"/>
  <c r="T10" i="4"/>
  <c r="Q10" i="4"/>
  <c r="P10" i="4"/>
  <c r="M10" i="4"/>
  <c r="L10" i="4"/>
  <c r="I10" i="4"/>
  <c r="F10" i="4"/>
  <c r="F9" i="4" s="1"/>
  <c r="BO9" i="4"/>
  <c r="BL9" i="4"/>
  <c r="BK9" i="4"/>
  <c r="BK7" i="4" s="1"/>
  <c r="BJ9" i="4"/>
  <c r="BI9" i="4"/>
  <c r="BH9" i="4"/>
  <c r="BG9" i="4"/>
  <c r="BM9" i="4" s="1"/>
  <c r="BF9" i="4"/>
  <c r="BE9" i="4"/>
  <c r="BD9" i="4"/>
  <c r="BC9" i="4"/>
  <c r="BC7" i="4" s="1"/>
  <c r="AZ9" i="4"/>
  <c r="AY9" i="4"/>
  <c r="AX9" i="4"/>
  <c r="AW9" i="4"/>
  <c r="AU9" i="4"/>
  <c r="AT9" i="4"/>
  <c r="AT6" i="4" s="1"/>
  <c r="AP9" i="4"/>
  <c r="AO9" i="4"/>
  <c r="AN9" i="4"/>
  <c r="AL9" i="4"/>
  <c r="AK9" i="4"/>
  <c r="AK6" i="4" s="1"/>
  <c r="AJ9" i="4"/>
  <c r="AI9" i="4"/>
  <c r="AH9" i="4"/>
  <c r="AG9" i="4"/>
  <c r="AG6" i="4" s="1"/>
  <c r="AF9" i="4"/>
  <c r="AE9" i="4"/>
  <c r="AD9" i="4"/>
  <c r="AD7" i="4" s="1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N7" i="4" s="1"/>
  <c r="M9" i="4"/>
  <c r="L9" i="4"/>
  <c r="L7" i="4" s="1"/>
  <c r="K9" i="4"/>
  <c r="J9" i="4"/>
  <c r="I9" i="4"/>
  <c r="I7" i="4" s="1"/>
  <c r="H9" i="4"/>
  <c r="H7" i="4" s="1"/>
  <c r="G9" i="4"/>
  <c r="E9" i="4"/>
  <c r="D9" i="4"/>
  <c r="D7" i="4" s="1"/>
  <c r="C9" i="4"/>
  <c r="BO7" i="4"/>
  <c r="BI7" i="4"/>
  <c r="AS7" i="4"/>
  <c r="AR7" i="4"/>
  <c r="AQ7" i="4"/>
  <c r="AI7" i="4"/>
  <c r="AE7" i="4"/>
  <c r="AA7" i="4"/>
  <c r="W7" i="4"/>
  <c r="S7" i="4"/>
  <c r="O7" i="4"/>
  <c r="M7" i="4"/>
  <c r="K7" i="4"/>
  <c r="G7" i="4"/>
  <c r="E7" i="4"/>
  <c r="C7" i="4"/>
  <c r="BK6" i="4"/>
  <c r="BC6" i="4"/>
  <c r="BB6" i="4"/>
  <c r="AY6" i="4"/>
  <c r="AU6" i="4"/>
  <c r="AS6" i="4"/>
  <c r="AR6" i="4"/>
  <c r="AQ6" i="4"/>
  <c r="AJ6" i="4"/>
  <c r="AF6" i="4"/>
  <c r="AA6" i="4"/>
  <c r="S6" i="4"/>
  <c r="K6" i="4"/>
  <c r="C6" i="4"/>
  <c r="BQ7" i="4" l="1"/>
  <c r="BQ6" i="4"/>
  <c r="BA71" i="4"/>
  <c r="BA67" i="4"/>
  <c r="AW6" i="4"/>
  <c r="BC71" i="4"/>
  <c r="BC67" i="4"/>
  <c r="BA7" i="4"/>
  <c r="BA6" i="4"/>
  <c r="F21" i="4"/>
  <c r="F7" i="4" s="1"/>
  <c r="BG71" i="4"/>
  <c r="BR71" i="4" s="1"/>
  <c r="BG67" i="4"/>
  <c r="BK71" i="4"/>
  <c r="BK67" i="4"/>
  <c r="T7" i="4"/>
  <c r="AP7" i="4"/>
  <c r="AG7" i="4"/>
  <c r="BS38" i="4"/>
  <c r="AZ6" i="4"/>
  <c r="BO6" i="4"/>
  <c r="AL7" i="4"/>
  <c r="I6" i="4"/>
  <c r="AO6" i="4"/>
  <c r="BE7" i="4"/>
  <c r="AF7" i="4"/>
  <c r="AJ7" i="4"/>
  <c r="BM15" i="4"/>
  <c r="AB21" i="4"/>
  <c r="BM25" i="4"/>
  <c r="BT28" i="4"/>
  <c r="BM38" i="4"/>
  <c r="BT45" i="4"/>
  <c r="BT54" i="4"/>
  <c r="F69" i="4"/>
  <c r="F67" i="4" s="1"/>
  <c r="J69" i="4"/>
  <c r="J67" i="4" s="1"/>
  <c r="N69" i="4"/>
  <c r="N67" i="4" s="1"/>
  <c r="R69" i="4"/>
  <c r="R67" i="4" s="1"/>
  <c r="V69" i="4"/>
  <c r="V67" i="4" s="1"/>
  <c r="Z69" i="4"/>
  <c r="Z67" i="4" s="1"/>
  <c r="AD69" i="4"/>
  <c r="AD67" i="4" s="1"/>
  <c r="AH69" i="4"/>
  <c r="AH67" i="4" s="1"/>
  <c r="AL69" i="4"/>
  <c r="AL67" i="4" s="1"/>
  <c r="AP69" i="4"/>
  <c r="AP67" i="4" s="1"/>
  <c r="BF69" i="4"/>
  <c r="BF67" i="4" s="1"/>
  <c r="BJ69" i="4"/>
  <c r="AT69" i="4"/>
  <c r="AT67" i="4" s="1"/>
  <c r="AX69" i="4"/>
  <c r="X7" i="4"/>
  <c r="P7" i="4"/>
  <c r="AV21" i="4"/>
  <c r="AV7" i="4" s="1"/>
  <c r="E6" i="4"/>
  <c r="BH6" i="4"/>
  <c r="AW7" i="4"/>
  <c r="AH7" i="4"/>
  <c r="Y21" i="4"/>
  <c r="Y6" i="4" s="1"/>
  <c r="Y125" i="4" s="1"/>
  <c r="BS25" i="4"/>
  <c r="BN28" i="4"/>
  <c r="BS28" i="4"/>
  <c r="BN33" i="4"/>
  <c r="BS33" i="4"/>
  <c r="BL36" i="4"/>
  <c r="BS36" i="4" s="1"/>
  <c r="BR42" i="4"/>
  <c r="BN45" i="4"/>
  <c r="BS45" i="4"/>
  <c r="BS54" i="4"/>
  <c r="AJ69" i="4"/>
  <c r="AJ67" i="4" s="1"/>
  <c r="AN69" i="4"/>
  <c r="AN67" i="4" s="1"/>
  <c r="AU69" i="4"/>
  <c r="AU67" i="4" s="1"/>
  <c r="AY69" i="4"/>
  <c r="AY67" i="4" s="1"/>
  <c r="BN72" i="4"/>
  <c r="AV69" i="4"/>
  <c r="AV67" i="4" s="1"/>
  <c r="AZ69" i="4"/>
  <c r="AZ67" i="4" s="1"/>
  <c r="BM75" i="4"/>
  <c r="BT98" i="4"/>
  <c r="BS106" i="4"/>
  <c r="AB7" i="4"/>
  <c r="BT15" i="4"/>
  <c r="AK7" i="4"/>
  <c r="M6" i="4"/>
  <c r="AC6" i="4"/>
  <c r="BD6" i="4"/>
  <c r="U21" i="4"/>
  <c r="AD6" i="4"/>
  <c r="AH6" i="4"/>
  <c r="AL6" i="4"/>
  <c r="J7" i="4"/>
  <c r="R7" i="4"/>
  <c r="V7" i="4"/>
  <c r="Z7" i="4"/>
  <c r="AN7" i="4"/>
  <c r="AU7" i="4"/>
  <c r="AY7" i="4"/>
  <c r="BG21" i="4"/>
  <c r="BG6" i="4" s="1"/>
  <c r="AM21" i="4"/>
  <c r="AT7" i="4"/>
  <c r="AX21" i="4"/>
  <c r="AX7" i="4" s="1"/>
  <c r="BF7" i="4"/>
  <c r="BJ7" i="4"/>
  <c r="BS22" i="4"/>
  <c r="Q28" i="4"/>
  <c r="Q21" i="4" s="1"/>
  <c r="Q6" i="4" s="1"/>
  <c r="Q125" i="4" s="1"/>
  <c r="BT42" i="4"/>
  <c r="BS75" i="4"/>
  <c r="BT87" i="4"/>
  <c r="BN91" i="4"/>
  <c r="BS96" i="4"/>
  <c r="BS99" i="4"/>
  <c r="D6" i="4"/>
  <c r="F6" i="4"/>
  <c r="H6" i="4"/>
  <c r="H125" i="4" s="1"/>
  <c r="J6" i="4"/>
  <c r="L6" i="4"/>
  <c r="N6" i="4"/>
  <c r="P6" i="4"/>
  <c r="P125" i="4" s="1"/>
  <c r="R6" i="4"/>
  <c r="T6" i="4"/>
  <c r="V6" i="4"/>
  <c r="X6" i="4"/>
  <c r="X125" i="4" s="1"/>
  <c r="Z6" i="4"/>
  <c r="AB6" i="4"/>
  <c r="AN6" i="4"/>
  <c r="AP6" i="4"/>
  <c r="BN9" i="4"/>
  <c r="AM9" i="4"/>
  <c r="BR14" i="4"/>
  <c r="BT14" i="4"/>
  <c r="BN15" i="4"/>
  <c r="BS15" i="4"/>
  <c r="BN22" i="4"/>
  <c r="BR22" i="4"/>
  <c r="BT22" i="4"/>
  <c r="BR25" i="4"/>
  <c r="BT25" i="4"/>
  <c r="BM36" i="4"/>
  <c r="D125" i="4"/>
  <c r="D8" i="4" s="1"/>
  <c r="D68" i="4"/>
  <c r="F125" i="4"/>
  <c r="F68" i="4" s="1"/>
  <c r="J125" i="4"/>
  <c r="J8" i="4" s="1"/>
  <c r="L125" i="4"/>
  <c r="L8" i="4" s="1"/>
  <c r="L68" i="4"/>
  <c r="N125" i="4"/>
  <c r="N8" i="4" s="1"/>
  <c r="R125" i="4"/>
  <c r="R8" i="4" s="1"/>
  <c r="T125" i="4"/>
  <c r="T8" i="4" s="1"/>
  <c r="T68" i="4"/>
  <c r="V125" i="4"/>
  <c r="V8" i="4" s="1"/>
  <c r="Z125" i="4"/>
  <c r="Z8" i="4" s="1"/>
  <c r="AB125" i="4"/>
  <c r="AB8" i="4" s="1"/>
  <c r="AB68" i="4"/>
  <c r="AD125" i="4"/>
  <c r="AD8" i="4" s="1"/>
  <c r="AF125" i="4"/>
  <c r="AF8" i="4" s="1"/>
  <c r="AH125" i="4"/>
  <c r="AH8" i="4" s="1"/>
  <c r="AJ125" i="4"/>
  <c r="AJ8" i="4" s="1"/>
  <c r="AL125" i="4"/>
  <c r="AL8" i="4" s="1"/>
  <c r="AU125" i="4"/>
  <c r="AU8" i="4" s="1"/>
  <c r="AY125" i="4"/>
  <c r="AY8" i="4" s="1"/>
  <c r="BP9" i="4"/>
  <c r="BR15" i="4"/>
  <c r="BL21" i="4"/>
  <c r="BP21" i="4"/>
  <c r="BR28" i="4"/>
  <c r="BR33" i="4"/>
  <c r="D37" i="4"/>
  <c r="L37" i="4"/>
  <c r="T37" i="4"/>
  <c r="AB37" i="4"/>
  <c r="AF37" i="4"/>
  <c r="AJ37" i="4"/>
  <c r="BN36" i="4"/>
  <c r="BR36" i="4"/>
  <c r="BT36" i="4"/>
  <c r="BR38" i="4"/>
  <c r="BR45" i="4"/>
  <c r="BM49" i="4"/>
  <c r="BR49" i="4"/>
  <c r="BT63" i="4"/>
  <c r="C125" i="4"/>
  <c r="C8" i="4" s="1"/>
  <c r="E125" i="4"/>
  <c r="E37" i="4" s="1"/>
  <c r="G125" i="4"/>
  <c r="G8" i="4" s="1"/>
  <c r="I125" i="4"/>
  <c r="I8" i="4" s="1"/>
  <c r="K125" i="4"/>
  <c r="K8" i="4" s="1"/>
  <c r="M125" i="4"/>
  <c r="M37" i="4" s="1"/>
  <c r="O125" i="4"/>
  <c r="O8" i="4" s="1"/>
  <c r="S125" i="4"/>
  <c r="S8" i="4" s="1"/>
  <c r="W125" i="4"/>
  <c r="W8" i="4" s="1"/>
  <c r="AA125" i="4"/>
  <c r="AA8" i="4" s="1"/>
  <c r="AC125" i="4"/>
  <c r="AC37" i="4" s="1"/>
  <c r="AE125" i="4"/>
  <c r="AE8" i="4" s="1"/>
  <c r="AG125" i="4"/>
  <c r="AG8" i="4" s="1"/>
  <c r="AI125" i="4"/>
  <c r="AI8" i="4" s="1"/>
  <c r="AK125" i="4"/>
  <c r="AK37" i="4" s="1"/>
  <c r="AO125" i="4"/>
  <c r="AO8" i="4" s="1"/>
  <c r="AQ125" i="4"/>
  <c r="AQ8" i="4" s="1"/>
  <c r="AS125" i="4"/>
  <c r="AS37" i="4" s="1"/>
  <c r="AW125" i="4"/>
  <c r="AW8" i="4" s="1"/>
  <c r="BA125" i="4"/>
  <c r="BA8" i="4" s="1"/>
  <c r="BC125" i="4"/>
  <c r="BC37" i="4" s="1"/>
  <c r="BE125" i="4"/>
  <c r="BE8" i="4" s="1"/>
  <c r="BG125" i="4"/>
  <c r="BG37" i="4" s="1"/>
  <c r="BI125" i="4"/>
  <c r="BI8" i="4" s="1"/>
  <c r="BK125" i="4"/>
  <c r="BK8" i="4" s="1"/>
  <c r="BO125" i="4"/>
  <c r="BO8" i="4" s="1"/>
  <c r="BQ125" i="4"/>
  <c r="BQ8" i="4" s="1"/>
  <c r="C68" i="4"/>
  <c r="I68" i="4"/>
  <c r="K68" i="4"/>
  <c r="S68" i="4"/>
  <c r="AA68" i="4"/>
  <c r="AG68" i="4"/>
  <c r="AI68" i="4"/>
  <c r="AQ68" i="4"/>
  <c r="AS68" i="4"/>
  <c r="BC68" i="4"/>
  <c r="BE68" i="4"/>
  <c r="BK68" i="4"/>
  <c r="BO68" i="4"/>
  <c r="BS72" i="4"/>
  <c r="BP69" i="4"/>
  <c r="BR72" i="4"/>
  <c r="AN125" i="4"/>
  <c r="AN8" i="4" s="1"/>
  <c r="AP125" i="4"/>
  <c r="AP8" i="4" s="1"/>
  <c r="AR125" i="4"/>
  <c r="AR8" i="4" s="1"/>
  <c r="AT125" i="4"/>
  <c r="AT8" i="4" s="1"/>
  <c r="AZ125" i="4"/>
  <c r="AZ8" i="4" s="1"/>
  <c r="BB125" i="4"/>
  <c r="BB37" i="4" s="1"/>
  <c r="BD125" i="4"/>
  <c r="BD8" i="4" s="1"/>
  <c r="BF125" i="4"/>
  <c r="BF37" i="4" s="1"/>
  <c r="BH125" i="4"/>
  <c r="BH8" i="4" s="1"/>
  <c r="AN68" i="4"/>
  <c r="AP68" i="4"/>
  <c r="AR68" i="4"/>
  <c r="AT68" i="4"/>
  <c r="AZ68" i="4"/>
  <c r="BD68" i="4"/>
  <c r="BF68" i="4"/>
  <c r="BH68" i="4"/>
  <c r="BM72" i="4"/>
  <c r="BL69" i="4"/>
  <c r="BR75" i="4"/>
  <c r="BM87" i="4"/>
  <c r="BR87" i="4"/>
  <c r="BM91" i="4"/>
  <c r="BS91" i="4"/>
  <c r="BM96" i="4"/>
  <c r="BM98" i="4"/>
  <c r="BM99" i="4"/>
  <c r="BR106" i="4"/>
  <c r="BT106" i="4"/>
  <c r="BM119" i="4"/>
  <c r="BS119" i="4"/>
  <c r="BN87" i="4"/>
  <c r="BR91" i="4"/>
  <c r="BR119" i="4"/>
  <c r="X8" i="4" l="1"/>
  <c r="X37" i="4"/>
  <c r="X68" i="4"/>
  <c r="Q8" i="4"/>
  <c r="Q68" i="4"/>
  <c r="H8" i="4"/>
  <c r="H37" i="4"/>
  <c r="H68" i="4"/>
  <c r="Y68" i="4"/>
  <c r="P8" i="4"/>
  <c r="P37" i="4"/>
  <c r="P68" i="4"/>
  <c r="AH37" i="4"/>
  <c r="Z37" i="4"/>
  <c r="R37" i="4"/>
  <c r="J37" i="4"/>
  <c r="AU68" i="4"/>
  <c r="AJ68" i="4"/>
  <c r="AF68" i="4"/>
  <c r="Y7" i="4"/>
  <c r="Y8" i="4" s="1"/>
  <c r="BI68" i="4"/>
  <c r="AO68" i="4"/>
  <c r="O68" i="4"/>
  <c r="AX71" i="4"/>
  <c r="AX67" i="4"/>
  <c r="Q7" i="4"/>
  <c r="AX6" i="4"/>
  <c r="BB68" i="4"/>
  <c r="BA68" i="4"/>
  <c r="AE68" i="4"/>
  <c r="W68" i="4"/>
  <c r="G68" i="4"/>
  <c r="BQ68" i="4"/>
  <c r="BG68" i="4"/>
  <c r="AW68" i="4"/>
  <c r="AK68" i="4"/>
  <c r="AC68" i="4"/>
  <c r="M68" i="4"/>
  <c r="E68" i="4"/>
  <c r="AL37" i="4"/>
  <c r="AD37" i="4"/>
  <c r="V37" i="4"/>
  <c r="N37" i="4"/>
  <c r="F37" i="4"/>
  <c r="AY68" i="4"/>
  <c r="AL68" i="4"/>
  <c r="AH68" i="4"/>
  <c r="AD68" i="4"/>
  <c r="Z68" i="4"/>
  <c r="V68" i="4"/>
  <c r="R68" i="4"/>
  <c r="N68" i="4"/>
  <c r="J68" i="4"/>
  <c r="BG7" i="4"/>
  <c r="U6" i="4"/>
  <c r="U125" i="4" s="1"/>
  <c r="U7" i="4"/>
  <c r="F8" i="4"/>
  <c r="BJ71" i="4"/>
  <c r="BJ67" i="4"/>
  <c r="AV6" i="4"/>
  <c r="AV125" i="4" s="1"/>
  <c r="BT69" i="4"/>
  <c r="BR69" i="4"/>
  <c r="BS69" i="4"/>
  <c r="BP67" i="4"/>
  <c r="BQ37" i="4"/>
  <c r="BH37" i="4"/>
  <c r="BD37" i="4"/>
  <c r="AZ37" i="4"/>
  <c r="AV37" i="4"/>
  <c r="AR37" i="4"/>
  <c r="AN37" i="4"/>
  <c r="BN21" i="4"/>
  <c r="BL7" i="4"/>
  <c r="BM21" i="4"/>
  <c r="BL6" i="4"/>
  <c r="BT9" i="4"/>
  <c r="BR9" i="4"/>
  <c r="BP7" i="4"/>
  <c r="BS9" i="4"/>
  <c r="BP6" i="4"/>
  <c r="BI37" i="4"/>
  <c r="BE37" i="4"/>
  <c r="BA37" i="4"/>
  <c r="AU37" i="4"/>
  <c r="AQ37" i="4"/>
  <c r="AI37" i="4"/>
  <c r="AE37" i="4"/>
  <c r="AA37" i="4"/>
  <c r="W37" i="4"/>
  <c r="S37" i="4"/>
  <c r="O37" i="4"/>
  <c r="K37" i="4"/>
  <c r="G37" i="4"/>
  <c r="C37" i="4"/>
  <c r="BF8" i="4"/>
  <c r="BB8" i="4"/>
  <c r="AM7" i="4"/>
  <c r="AM8" i="4" s="1"/>
  <c r="AM6" i="4"/>
  <c r="AM125" i="4" s="1"/>
  <c r="BG8" i="4"/>
  <c r="AK8" i="4"/>
  <c r="AC8" i="4"/>
  <c r="BC8" i="4"/>
  <c r="AS8" i="4"/>
  <c r="M8" i="4"/>
  <c r="E8" i="4"/>
  <c r="BL71" i="4"/>
  <c r="BN69" i="4"/>
  <c r="BL67" i="4"/>
  <c r="BM69" i="4"/>
  <c r="BO37" i="4"/>
  <c r="AT37" i="4"/>
  <c r="AP37" i="4"/>
  <c r="BT21" i="4"/>
  <c r="BR21" i="4"/>
  <c r="BS21" i="4"/>
  <c r="BK37" i="4"/>
  <c r="AY37" i="4"/>
  <c r="AW37" i="4"/>
  <c r="AO37" i="4"/>
  <c r="AG37" i="4"/>
  <c r="Y37" i="4"/>
  <c r="Q37" i="4"/>
  <c r="I37" i="4"/>
  <c r="U37" i="4" l="1"/>
  <c r="U68" i="4"/>
  <c r="U8" i="4"/>
  <c r="BJ125" i="4"/>
  <c r="AX125" i="4"/>
  <c r="AX68" i="4"/>
  <c r="AV8" i="4"/>
  <c r="AV68" i="4"/>
  <c r="AM37" i="4"/>
  <c r="AM68" i="4"/>
  <c r="BT6" i="4"/>
  <c r="BR6" i="4"/>
  <c r="BS6" i="4"/>
  <c r="BT7" i="4"/>
  <c r="BR7" i="4"/>
  <c r="BS7" i="4"/>
  <c r="BP125" i="4"/>
  <c r="BP68" i="4"/>
  <c r="BT67" i="4"/>
  <c r="BR67" i="4"/>
  <c r="BS67" i="4"/>
  <c r="BL125" i="4"/>
  <c r="BL68" i="4" s="1"/>
  <c r="BN67" i="4"/>
  <c r="BM67" i="4"/>
  <c r="BS71" i="4"/>
  <c r="BN71" i="4"/>
  <c r="BM71" i="4"/>
  <c r="BN6" i="4"/>
  <c r="BM6" i="4"/>
  <c r="BN7" i="4"/>
  <c r="BM7" i="4"/>
  <c r="AX37" i="4" l="1"/>
  <c r="AX8" i="4"/>
  <c r="BJ37" i="4"/>
  <c r="BJ8" i="4"/>
  <c r="BJ68" i="4"/>
  <c r="BL8" i="4"/>
  <c r="BT125" i="4"/>
  <c r="BR125" i="4"/>
  <c r="BS125" i="4"/>
  <c r="BP37" i="4"/>
  <c r="BP8" i="4"/>
  <c r="BN125" i="4"/>
  <c r="BM125" i="4"/>
  <c r="BL37" i="4"/>
</calcChain>
</file>

<file path=xl/comments1.xml><?xml version="1.0" encoding="utf-8"?>
<comments xmlns="http://schemas.openxmlformats.org/spreadsheetml/2006/main">
  <authors>
    <author>Автор</author>
  </authors>
  <commentLis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выигрыши, лотереи, аренда, продажа недвиж, дивиденды и т.д.</t>
        </r>
      </text>
    </comment>
    <comment ref="E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H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K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O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S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W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A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E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  <comment ref="AK7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федер. бюджет</t>
        </r>
      </text>
    </comment>
  </commentList>
</comments>
</file>

<file path=xl/sharedStrings.xml><?xml version="1.0" encoding="utf-8"?>
<sst xmlns="http://schemas.openxmlformats.org/spreadsheetml/2006/main" count="1445" uniqueCount="555">
  <si>
    <t>Приложение №1</t>
  </si>
  <si>
    <t xml:space="preserve">                                                Анализ доходов бюджета сельского поселения Перегребное</t>
  </si>
  <si>
    <t>Код бюджетной классификации</t>
  </si>
  <si>
    <t>Наименование дохода</t>
  </si>
  <si>
    <t>исполнение за 2011 год</t>
  </si>
  <si>
    <t>РСД от  28.12.2011 № 53</t>
  </si>
  <si>
    <t>РСД от  28.12.2012  №65</t>
  </si>
  <si>
    <t>исполнение за 2012 год</t>
  </si>
  <si>
    <t>РСД от  28.12.2012 № 66</t>
  </si>
  <si>
    <t>РСД от  26.12.2013  № 27</t>
  </si>
  <si>
    <t>исполнение за 2013 год</t>
  </si>
  <si>
    <t>РСД от  26.12.2013 № 28</t>
  </si>
  <si>
    <t>РСД от  26.12.2014  № 48</t>
  </si>
  <si>
    <t>исполнение за 2014 год</t>
  </si>
  <si>
    <t>начисление за 2014 год</t>
  </si>
  <si>
    <t>РСД от  26.12.2014 № 46</t>
  </si>
  <si>
    <t>РСД от  25.12.2015  № 45</t>
  </si>
  <si>
    <t>исполнение за 2015 год</t>
  </si>
  <si>
    <t>начисление за 2015 год</t>
  </si>
  <si>
    <t>РСД от  25.12.2015 № 46</t>
  </si>
  <si>
    <t>РСД от  29.12.2016  № 55</t>
  </si>
  <si>
    <t>исполнение за 2016 год</t>
  </si>
  <si>
    <t>начисление за 2016 год</t>
  </si>
  <si>
    <t>РСД от 29.12.2016 №56</t>
  </si>
  <si>
    <t>РСД от  29.12.2017  № 44</t>
  </si>
  <si>
    <t>исполнение за 2017 год</t>
  </si>
  <si>
    <t>начисление за 2017 год</t>
  </si>
  <si>
    <t>РСД от 29.12.2017 №45</t>
  </si>
  <si>
    <t>РСД от  27.12.2018  № 18</t>
  </si>
  <si>
    <t>исполнение за 2018 год</t>
  </si>
  <si>
    <t>начисление за 2018 год</t>
  </si>
  <si>
    <t>РСД от 27.12.2018 №17</t>
  </si>
  <si>
    <t>РСД от  27.12.2019  № 61</t>
  </si>
  <si>
    <t>исполнение за 2019 год</t>
  </si>
  <si>
    <t>начисление за 2019 год</t>
  </si>
  <si>
    <t>РСД от 16.12.2019 №59</t>
  </si>
  <si>
    <t>РСД от  29.12.2020 № 43</t>
  </si>
  <si>
    <t>исполнение за 2020 год</t>
  </si>
  <si>
    <t>начисление за 2020 год</t>
  </si>
  <si>
    <t>РСД от 22.12.20 №40</t>
  </si>
  <si>
    <t>РСД от 15.04.21 №12</t>
  </si>
  <si>
    <t>РСД от 31.05.21 №16</t>
  </si>
  <si>
    <t>РСД от 14.09.21 №26</t>
  </si>
  <si>
    <t>РСД от 15.11.21 №35</t>
  </si>
  <si>
    <t>РСД от 28.12.2021 №43</t>
  </si>
  <si>
    <t>исполнение за 2021 год</t>
  </si>
  <si>
    <t>начисление за 2021 год</t>
  </si>
  <si>
    <t>РСД от 20.12.21 №41</t>
  </si>
  <si>
    <t>РСД от 21.03.22 №6</t>
  </si>
  <si>
    <t>РСД 14.06.22 №16</t>
  </si>
  <si>
    <t>РСД 20.10.22 №26</t>
  </si>
  <si>
    <t>РСД 23.12.22 №36</t>
  </si>
  <si>
    <t>исполнение за 2022 год</t>
  </si>
  <si>
    <t>начисление за 2022 год</t>
  </si>
  <si>
    <t>РСД от 23.12.2022 №37</t>
  </si>
  <si>
    <t>РСД от 07.04.2023 №14</t>
  </si>
  <si>
    <t>РСД от 29.06.23 №28</t>
  </si>
  <si>
    <t>РСД от 22.12.23 №25</t>
  </si>
  <si>
    <t>в тыс. руб. от РСД №37</t>
  </si>
  <si>
    <t>в % от РСД №37</t>
  </si>
  <si>
    <t>ожидаемое исполнение за 2023 год</t>
  </si>
  <si>
    <t>исполнение за 2023 год</t>
  </si>
  <si>
    <t>начисление за 2023 год</t>
  </si>
  <si>
    <t>в % к РСД №37</t>
  </si>
  <si>
    <t>в % кт РСД №25</t>
  </si>
  <si>
    <t>в % к 2022 году</t>
  </si>
  <si>
    <t>Утвержденные назначения</t>
  </si>
  <si>
    <t xml:space="preserve"> Уточненные назначения</t>
  </si>
  <si>
    <t>Утвержденные назначения на 2020 год</t>
  </si>
  <si>
    <t>Утвержденные назначения на 2021 год</t>
  </si>
  <si>
    <t>Утвержденные назначения на 2022 год</t>
  </si>
  <si>
    <t>Уточненные назначения на 2020 год</t>
  </si>
  <si>
    <t>2021 год</t>
  </si>
  <si>
    <t>2022 год</t>
  </si>
  <si>
    <t>2023 год</t>
  </si>
  <si>
    <t>2024 год</t>
  </si>
  <si>
    <t>2025 год</t>
  </si>
  <si>
    <t>000 1 00 00000 00 0000 000</t>
  </si>
  <si>
    <t xml:space="preserve">НАЛОГОВЫЕ И НЕНАЛОГОВЫЕ ДОХОДЫ </t>
  </si>
  <si>
    <t>Налоговые доходы</t>
  </si>
  <si>
    <t>удельный вес в общем объеме доходов, %</t>
  </si>
  <si>
    <t>000 1 01 02000 01 0000 110</t>
  </si>
  <si>
    <t>НАЛОГ НА ДОХОДЫ ФИЗИЧЕСКИХ ЛИЦ</t>
  </si>
  <si>
    <t>182 1 01 02010 01 0000 110</t>
  </si>
  <si>
    <t>НДФЛ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НК РФ, а также доходов от долевого участия в организации, полученных в виде дивидендов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</si>
  <si>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</si>
  <si>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</si>
  <si>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</si>
  <si>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</si>
  <si>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</si>
  <si>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</si>
  <si>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</si>
  <si>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</si>
  <si>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000 103 00000 00 0000 000</t>
  </si>
  <si>
    <t>Налоги на товары (работы, услуги), реализуемые на территории РФ</t>
  </si>
  <si>
    <t>000 103 02230 01 0000 110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</si>
  <si>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</si>
  <si>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</si>
  <si>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</si>
  <si>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</si>
  <si>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</si>
  <si>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</si>
  <si>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</si>
  <si>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000 1 05 00000 00 0000 000</t>
  </si>
  <si>
    <t>НАЛОГИ НА СОВОКУПНЫЙ ДОХОД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</si>
  <si>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</si>
  <si>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</si>
  <si>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</si>
  <si>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</si>
  <si>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</si>
  <si>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</si>
  <si>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списано</t>
  </si>
  <si>
    <t>182 1 06 04000 02 0000 110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</si>
  <si>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</si>
  <si>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</si>
  <si>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</si>
  <si>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</si>
  <si>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</si>
  <si>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</si>
  <si>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</si>
  <si>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</si>
  <si>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</si>
  <si>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списано 173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</si>
  <si>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</si>
  <si>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</si>
  <si>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</si>
  <si>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</si>
  <si>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</si>
  <si>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</t>
  </si>
  <si>
    <t>650 1 08 07175 01 0000 110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</si>
  <si>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</si>
  <si>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</si>
  <si>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</si>
  <si>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</si>
  <si>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</si>
  <si>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</si>
  <si>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650 1 11 05035 10 0000 120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</si>
  <si>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им-ва б и а у)</t>
  </si>
  <si>
    <t>000 1 11 05075 10 0000 120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</si>
  <si>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</si>
  <si>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 xml:space="preserve">000 1 11 05325 10 0000 120
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</si>
  <si>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</si>
  <si>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650 1 11 09045 10 0000 120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</si>
  <si>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</si>
  <si>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11109…/172</t>
  </si>
  <si>
    <t>учр</t>
  </si>
  <si>
    <t>000 1 13  00000 00 0000 000</t>
  </si>
  <si>
    <t>ДОХОДЫ ОТ ОКАЗАНИЯ ПЛАТНЫХ УСЛУГ (РАБОТ) И КОМПЕНСАЦИИ ЗАТРАТ ГОСУДАРСТВА</t>
  </si>
  <si>
    <t>650 1 13 01995 10 0000 130</t>
  </si>
  <si>
    <t>Прочие доходы от оказания платных услуг (работ) получателями средств бюджетов сельских поселений</t>
  </si>
  <si>
    <t>650 1 13 02995 10 0000 130/135</t>
  </si>
  <si>
    <t>Прочие доходы от компенсации затрат бюджетов сельских  поселений</t>
  </si>
  <si>
    <t>000 1 14 00000 00 0000 000</t>
  </si>
  <si>
    <t>ДОХОДЫ ОТ ПРОДАЖИ МАТЕРИАЛЬНЫХ И НЕМАТЕРИАЛЬНЫХ АКТИВОВ</t>
  </si>
  <si>
    <t xml:space="preserve"> 650 1 14 13060 10 0000 410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</si>
  <si>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</si>
  <si>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 xml:space="preserve"> 650 1 14 02053 10 0000 440</t>
  </si>
  <si>
    <t>Доходы от реализации иного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</si>
  <si>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>650 1 14 06025 10 0000 430</t>
  </si>
  <si>
    <t>Доходы от продажи земельных участков, находящихся в собственности сельских поселений (за исключением земельных участков, находящихся в собственности муниципальных бюджетных и автономных учреждений)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</si>
  <si>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</si>
  <si>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</t>
  </si>
  <si>
    <t>000 1 16 00000 00 0000 000</t>
  </si>
  <si>
    <t>ШТРАФЫ, САНКЦИИ, ВОЗМЕЩЕНИЕ УЩЕРБА</t>
  </si>
  <si>
    <t>650 1 16 23051 10 0000 140</t>
  </si>
  <si>
    <t xml:space="preserve"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 </t>
  </si>
  <si>
    <t>650 1 16 23052 10 0000 140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</si>
  <si>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 </t>
  </si>
  <si>
    <t>000 1 16 10123 01 0000 140/145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</si>
  <si>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</si>
  <si>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000 1 16 07010 10 0000 140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</si>
  <si>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</si>
  <si>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1 1 16 07010 10 0000 140/174
</t>
  </si>
  <si>
    <t>выпадающие доходы</t>
  </si>
  <si>
    <t>188 1 16 30015 01 0000 140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</si>
  <si>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сельских поселений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</si>
  <si>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</si>
  <si>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</si>
  <si>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650 1 17 00000 00 0000 000 </t>
  </si>
  <si>
    <t>Прочие неналоговые доходы</t>
  </si>
  <si>
    <t>000 1 17 01050 10 0000 180</t>
  </si>
  <si>
    <t>Невыясненные поступления, зачисляемые в бюджеты сельских поселений</t>
  </si>
  <si>
    <t>000 1 17 15030 10 0000 150</t>
  </si>
  <si>
    <t>Инициативные платежи, зачисляемые в бюджеты сельских поселений</t>
  </si>
  <si>
    <t>117/199</t>
  </si>
  <si>
    <t>000 2 00 00000 00 0000 000</t>
  </si>
  <si>
    <t>БЕЗВОЗМЕЗДНЫЕ ПОСТУПЛЕНИЯ</t>
  </si>
  <si>
    <t>000 2 02 00000 00 0000 000</t>
  </si>
  <si>
    <t>Безвозмездные  поступления от других  бюджетов бюджетной системы РФ</t>
  </si>
  <si>
    <t>Безвозмездные  поступления от других  бюджетов бюджетной системы РФ без учета дотаций</t>
  </si>
  <si>
    <t>000 2 02 10000 00 0000 150</t>
  </si>
  <si>
    <t>Дотации бюджетам бюджетной системы Российской Федерации</t>
  </si>
  <si>
    <t>650 2 02 15001 10 0000 150</t>
  </si>
  <si>
    <t xml:space="preserve">Дотации бюджетам сельских поселений на выравнивание бюджетной обеспеченности из бюджета субъекта РФ </t>
  </si>
  <si>
    <t>650 2 02 15002 10 0000 150</t>
  </si>
  <si>
    <t>Дотации бюджетам сельских поселений на поддержку мер по обеспечению сбалансированности бюджетов</t>
  </si>
  <si>
    <t>000 2 02 20000 00 0000 150</t>
  </si>
  <si>
    <t>Субсидии бюджетам бюджетной системы Российской Федерации (межбюджетные субсидии)</t>
  </si>
  <si>
    <t>650 2 02 02041 10 0000 151</t>
  </si>
  <si>
    <t>Субсидии бюджетам  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</si>
  <si>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650 2 02 02109 10 0000 151</t>
  </si>
  <si>
    <t>Субсидии бюджетам поселений на проведение капитального ремонта многоквартирных домов</t>
  </si>
  <si>
    <t>650 2 02 02150 10 0000 151</t>
  </si>
  <si>
    <t xml:space="preserve">Субсидии бюджетам поселений на реализацию программы энергосбережения и повышения энергетической эффективности на период до 2020 года </t>
  </si>
  <si>
    <t>650 2 02 29999 10 0000 150</t>
  </si>
  <si>
    <t>Прочие субсидии бюджетам сельских поселений</t>
  </si>
  <si>
    <t>ЖКК и ГС в МООР</t>
  </si>
  <si>
    <t>профилактика правонарушений</t>
  </si>
  <si>
    <t>Наш дом на 2011-2015 годы</t>
  </si>
  <si>
    <t>Культура Югры на 2009-2013</t>
  </si>
  <si>
    <t xml:space="preserve">энергосбережение </t>
  </si>
  <si>
    <t>наш дом (дорожн.фонд)</t>
  </si>
  <si>
    <t>инициативн пр МП Развитие гражданского общества в МООР</t>
  </si>
  <si>
    <t>000 2 02 30000 00 0000 150</t>
  </si>
  <si>
    <t>Субвенции бюджетам бюджетной системы Российской Федерации</t>
  </si>
  <si>
    <t>650 2 02 30024 10 0000 150</t>
  </si>
  <si>
    <t>Субвенции бюджетам сельских поселений на выполнение передаваемых полномочий субъектов РФ</t>
  </si>
  <si>
    <t>650 2 02 35930 10 0000 150</t>
  </si>
  <si>
    <t>Субвенции бюджетам сельских поселений на государственную регистрацию актов гражданского состояния</t>
  </si>
  <si>
    <t>650 2 02 35118 10 0000 150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</si>
  <si>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</si>
  <si>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000 2 02 40000 0000 150</t>
  </si>
  <si>
    <t>Иные межбюджетные трансферты</t>
  </si>
  <si>
    <t xml:space="preserve">650
2 02 45160 10 0000 150
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</si>
  <si>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</si>
  <si>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000 2 02 04029 10 0000150</t>
  </si>
  <si>
    <t xml:space="preserve">Межбюджетные трансферты, передаваемые бюджетам сельских поселений на реализацию дополнительных мероприятий,направленных на снижение напряженности на рынке труда </t>
  </si>
  <si>
    <t xml:space="preserve">650
2 02 49999 10 0000 150
</t>
  </si>
  <si>
    <t>Прочие межбюджетные трансферты, передаваемые бюджетам сельских поселений</t>
  </si>
  <si>
    <t xml:space="preserve">Современная транспортная система </t>
  </si>
  <si>
    <t xml:space="preserve">Содействие занятости населения </t>
  </si>
  <si>
    <t>Развитие физической культуры и спорта на территории ОР</t>
  </si>
  <si>
    <r>
      <t>МП "</t>
    </r>
    <r>
      <rPr>
        <b/>
        <sz val="10"/>
        <rFont val="Times New Roman"/>
        <family val="1"/>
        <charset val="204"/>
      </rPr>
      <t>Развитие культуры и туризма в МООР</t>
    </r>
    <r>
      <rPr>
        <sz val="10"/>
        <rFont val="Times New Roman"/>
        <family val="1"/>
        <charset val="204"/>
      </rPr>
      <t xml:space="preserve">" </t>
    </r>
  </si>
  <si>
    <t>МП "ЖКК в МООР"</t>
  </si>
  <si>
    <t>МП Пространственное развитие и ФКГС в МООР"</t>
  </si>
  <si>
    <t>Безопасность жизнедеятельности в  МООР</t>
  </si>
  <si>
    <t>наказы избирателей</t>
  </si>
  <si>
    <t>профилактика экстремизма</t>
  </si>
  <si>
    <t>профилактика терроризма</t>
  </si>
  <si>
    <t>Экологическая безопасность в МООР</t>
  </si>
  <si>
    <t>Доступная среда в МООР</t>
  </si>
  <si>
    <t>мобилизация</t>
  </si>
  <si>
    <t xml:space="preserve">содействие местному самоуправлению в развитии культурно-исторических традиций </t>
  </si>
  <si>
    <t>на повыш оплаты труда работников МУ культуры в целях реализации указов Президента РФ</t>
  </si>
  <si>
    <t>Развитие гражданского общества в МООР (иниц бюдж)</t>
  </si>
  <si>
    <t xml:space="preserve">на грантовую поддержку по итогам работы органов местного самоуправления в рамках муниципальной программы «Управление муниципальными финансами в Октябрьском районе» </t>
  </si>
  <si>
    <t>МП "Развитие АПК в МООР"</t>
  </si>
  <si>
    <t>Устойчивое развитие КМНС в МООР</t>
  </si>
  <si>
    <t>МП "Управление муниципальной собственностью в МООР"</t>
  </si>
  <si>
    <t>Развитие образования</t>
  </si>
  <si>
    <t>на поддержку мер по обеспечению сбалансированности бюджетов</t>
  </si>
  <si>
    <t>000 202 90024 10 0000 150</t>
  </si>
  <si>
    <t>Прочие безвозмездные поступления в бюджеты сельских поселений от бюджетов субъектов Российской Федерации</t>
  </si>
  <si>
    <t>000 2 07 00000 10 0000 150</t>
  </si>
  <si>
    <t>ПРОЧИЕ БЕЗВОЗМЕЗДНЫЕ ПОСТУПЛЕНИЯ</t>
  </si>
  <si>
    <t>650 2 07 05000 10 0000 150/155</t>
  </si>
  <si>
    <t>Прочие безвозмездные поступления в бюджеты сельских поселений</t>
  </si>
  <si>
    <t>000 2 07 10100 10 0000 196/195</t>
  </si>
  <si>
    <t xml:space="preserve">Безвозмездные межбюджетные неденежные поступления в бюджеты сельских поселений
/ капитального характера от сектора государственного управления и организаций государственного сектора
</t>
  </si>
  <si>
    <t>000 2 07 10100 10 0000 196/191</t>
  </si>
  <si>
    <t xml:space="preserve">Безвозмездные межбюджетные неденежные поступления в бюджеты сельских поселений/ текущего характера от сектора государственного управления и организаций государственного сектора
</t>
  </si>
  <si>
    <t>000 2 07 10100 10 0000 199/199</t>
  </si>
  <si>
    <t xml:space="preserve">Прочие безвозмездные неденежные поступления в бюджеты сельских поселений
/Прочие неденежные безвозмездные поступления
</t>
  </si>
  <si>
    <t>650 2 19 05000 10 0000 150</t>
  </si>
  <si>
    <t>Возврат остатков субсидий, субвенций и иных межбюджетных трансфертов, имеющих целевое значение, прошлых лет из бюджетов сельских поселений</t>
  </si>
  <si>
    <t>ВСЕГО ДОХОДОВ</t>
  </si>
  <si>
    <t>Приложение №2</t>
  </si>
  <si>
    <t xml:space="preserve">Анализ расходов  бюджета поселения Перегребное по разделам и подразделам классификации расходов бюджета </t>
  </si>
  <si>
    <t>Наименование</t>
  </si>
  <si>
    <t>Рз</t>
  </si>
  <si>
    <t>ПР</t>
  </si>
  <si>
    <t xml:space="preserve">Исполнение бюджета за 2011 год </t>
  </si>
  <si>
    <t>Исполнение бюджета за 2012 год</t>
  </si>
  <si>
    <t>Исполнение за 2013 год</t>
  </si>
  <si>
    <t>Исполнение за 2014 год</t>
  </si>
  <si>
    <t>Исполнение за 2015 год</t>
  </si>
  <si>
    <t>Исполнение за 2016 год</t>
  </si>
  <si>
    <t>Исполнение за 2017 год</t>
  </si>
  <si>
    <t xml:space="preserve">Исполнение за 2018 год </t>
  </si>
  <si>
    <t>Исполнение за 2019 год</t>
  </si>
  <si>
    <t>Исполнение за 2020 год</t>
  </si>
  <si>
    <t>Исполнение за 2021 год</t>
  </si>
  <si>
    <t>РСД от 20.12.21 №41, на   2022 г.</t>
  </si>
  <si>
    <t>РСД от 14.06.22 №16</t>
  </si>
  <si>
    <t>РСД от 20.10.22 №26</t>
  </si>
  <si>
    <t>РСД от 23.12.22 №36</t>
  </si>
  <si>
    <t>Бюджетная роспись</t>
  </si>
  <si>
    <t>Исполнение за 2022 год</t>
  </si>
  <si>
    <t>РСД от 23.12.2022 № 37</t>
  </si>
  <si>
    <t>РСД от 08.08.23 №32</t>
  </si>
  <si>
    <t>РСД от 08.09.23 № 36</t>
  </si>
  <si>
    <t>Проект 11.23</t>
  </si>
  <si>
    <t>Ожидаемое исполнение 2023 год</t>
  </si>
  <si>
    <t>Исполнение</t>
  </si>
  <si>
    <t>Отклонение бюджетной росписи от РСД №25, тыс. руб.</t>
  </si>
  <si>
    <t>Отклонение бюджетной росписи от РСД №25,%</t>
  </si>
  <si>
    <t>Отклонение бюджетной росписи от исполнения</t>
  </si>
  <si>
    <t>% исполнения от бюджетной росписи</t>
  </si>
  <si>
    <t>% исполнения от РСД №37</t>
  </si>
  <si>
    <t>% исполнения от РСД №25</t>
  </si>
  <si>
    <t>% исполнения от 2022 г.</t>
  </si>
  <si>
    <t>Отклонение РСД №25 от РСД №37, тыс. руб.</t>
  </si>
  <si>
    <t>Отклонение РСД №25 от РСД №37, %</t>
  </si>
  <si>
    <t>Отклонение бюджетной росписи от РСД №37, тыс. руб.</t>
  </si>
  <si>
    <t>Отклонение бюджетной росписи от РСД №37, %</t>
  </si>
  <si>
    <t>Удельный вес, %</t>
  </si>
  <si>
    <t>Проект на 2024 год</t>
  </si>
  <si>
    <t>Проект на 2025 год</t>
  </si>
  <si>
    <t>Проект на 2026 год</t>
  </si>
  <si>
    <t>Общегосударственные вопросы</t>
  </si>
  <si>
    <t>01</t>
  </si>
  <si>
    <t>03</t>
  </si>
  <si>
    <t>10</t>
  </si>
  <si>
    <t>32</t>
  </si>
  <si>
    <t>50</t>
  </si>
  <si>
    <t>Функционирование высшего должностного лица муниципального образования</t>
  </si>
  <si>
    <t>02</t>
  </si>
  <si>
    <t>3322,89</t>
  </si>
  <si>
    <t>Функционирование местных администраций</t>
  </si>
  <si>
    <t>04</t>
  </si>
  <si>
    <t>6503,527</t>
  </si>
  <si>
    <t>Обеспечение деятелньости финансовых, налоговых и таможенных органов и органов ифнансового (финансово - бюджетного) надзора</t>
  </si>
  <si>
    <t>06</t>
  </si>
  <si>
    <t>Обеспечение проведения выборов и референдумов</t>
  </si>
  <si>
    <t>07</t>
  </si>
  <si>
    <t>0</t>
  </si>
  <si>
    <t>Резервные фонды</t>
  </si>
  <si>
    <t>11</t>
  </si>
  <si>
    <t>Другие общегосударственные вопросы</t>
  </si>
  <si>
    <t>13</t>
  </si>
  <si>
    <t>2003,602</t>
  </si>
  <si>
    <t>Национальная оборона</t>
  </si>
  <si>
    <t>Мобилизационная  и вневойсковая подготовка</t>
  </si>
  <si>
    <t>356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</si>
  <si>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</si>
  <si>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</si>
  <si>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</si>
  <si>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</si>
  <si>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194,186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</si>
  <si>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</si>
  <si>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</si>
  <si>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</si>
  <si>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</si>
  <si>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</si>
  <si>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1135,431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</si>
  <si>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</si>
  <si>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</si>
  <si>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</si>
  <si>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</si>
  <si>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</si>
  <si>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Связь и информатика</t>
  </si>
  <si>
    <t>242,937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</si>
  <si>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</si>
  <si>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</si>
  <si>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</si>
  <si>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</si>
  <si>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3686,296</t>
  </si>
  <si>
    <t>Коммунальное  хозяйство</t>
  </si>
  <si>
    <t>390,11</t>
  </si>
  <si>
    <t>Благоустройство</t>
  </si>
  <si>
    <t>9518,917</t>
  </si>
  <si>
    <t>Охрана окружающей среды</t>
  </si>
  <si>
    <t>Другие вопросы в области охраны окружающей среды</t>
  </si>
  <si>
    <t>Образование</t>
  </si>
  <si>
    <t>Молодежная политика и оздоровление детей</t>
  </si>
  <si>
    <t xml:space="preserve">Культура, кинематография </t>
  </si>
  <si>
    <t xml:space="preserve">Культура </t>
  </si>
  <si>
    <t>5841,781</t>
  </si>
  <si>
    <t>Кинематография</t>
  </si>
  <si>
    <t>120,037</t>
  </si>
  <si>
    <t>Другие вопросы в области социальной политики</t>
  </si>
  <si>
    <t>Здравоохранение</t>
  </si>
  <si>
    <t>Санитарно - эпидемиологическое благополучие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</si>
  <si>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</si>
  <si>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</si>
  <si>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</si>
  <si>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</si>
  <si>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34,376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</si>
  <si>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</si>
  <si>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</si>
  <si>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Прочие межбюджетные трансферты общего характера</t>
  </si>
  <si>
    <t>ВСЕГО</t>
  </si>
  <si>
    <t>Приложение №3</t>
  </si>
  <si>
    <t>Ведомственная  структура  расходов бюджета  сельского поселения Перегребное  на 2023  год</t>
  </si>
  <si>
    <t>Пр</t>
  </si>
  <si>
    <t>ЦСР</t>
  </si>
  <si>
    <t>ВР</t>
  </si>
  <si>
    <t>КОСГУ</t>
  </si>
  <si>
    <t>РСД от 22.12.22 №37</t>
  </si>
  <si>
    <t>Функционирование высшего должностного лица муниципального  образования</t>
  </si>
  <si>
    <t>Непрограммные направления деятельности</t>
  </si>
  <si>
    <t>4000000000</t>
  </si>
  <si>
    <t>Непрограммные направления деятельности "Обеспечение деятельности муниципальных органов власти"</t>
  </si>
  <si>
    <t>4010000000</t>
  </si>
  <si>
    <t>Глава  муниципального  образования</t>
  </si>
  <si>
    <t>4010002030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</si>
  <si>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</si>
  <si>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</si>
  <si>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</si>
  <si>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</si>
  <si>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</si>
  <si>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211</t>
  </si>
  <si>
    <t>266</t>
  </si>
  <si>
    <t>129</t>
  </si>
  <si>
    <t>213</t>
  </si>
  <si>
    <t>Заместители главы  муниципального  образования</t>
  </si>
  <si>
    <t>4010002060</t>
  </si>
  <si>
    <t>122</t>
  </si>
  <si>
    <t>214</t>
  </si>
  <si>
    <t>267</t>
  </si>
  <si>
    <t>219</t>
  </si>
  <si>
    <t>Функционирование  местных администраций</t>
  </si>
  <si>
    <t>Расходы на обеспечение функций  органов местного самоуправления</t>
  </si>
  <si>
    <t>4010002040</t>
  </si>
  <si>
    <t>212</t>
  </si>
  <si>
    <t>226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</si>
  <si>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</si>
  <si>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</si>
  <si>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</si>
  <si>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</si>
  <si>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244</t>
  </si>
  <si>
    <t>221</t>
  </si>
  <si>
    <t>225</t>
  </si>
  <si>
    <t>227</t>
  </si>
  <si>
    <t>310</t>
  </si>
  <si>
    <t>343</t>
  </si>
  <si>
    <t>346</t>
  </si>
  <si>
    <t>Прочие мероприятия  муниципальных  органов в рамках непрограммного  направления деятельности "Обеспечение деятельности муниципальных органов власти"</t>
  </si>
  <si>
    <t>4010002400</t>
  </si>
  <si>
    <t>Обеспечение деятельности финансовых, налоговых и таможенных органов и органов финансового (финансово-бюджетного)надзора</t>
  </si>
  <si>
    <t>Межбюджетные трансферты</t>
  </si>
  <si>
    <t>Межбюджетные трансферты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 субъектов Российской Федерации, переданных для осуществления органам местного самоуправления в установленном порядке</t>
  </si>
  <si>
    <t>Расходы из бюджетов городских и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</si>
  <si>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 </t>
  </si>
  <si>
    <t xml:space="preserve">Иные межбюджетные трансферты </t>
  </si>
  <si>
    <t>Проведение выборов, повышение правовой культуры избирателей</t>
  </si>
  <si>
    <t>Иные  бюджетные  ассигнования</t>
  </si>
  <si>
    <t>Специальные расходы</t>
  </si>
  <si>
    <t>Непрограммное направление деятельности "исполнение отдельных расходных обязательств сельского поселения Перегребное"</t>
  </si>
  <si>
    <t>4080000000</t>
  </si>
  <si>
    <t>Резервный фонд администрации сельского поселения Перегребное</t>
  </si>
  <si>
    <t>800</t>
  </si>
  <si>
    <t>Резервные средства</t>
  </si>
  <si>
    <t>870</t>
  </si>
  <si>
    <t/>
  </si>
  <si>
    <t>Иные бюджетные ассигнования</t>
  </si>
  <si>
    <t xml:space="preserve">Уплата налогов, сборов и иных платежей </t>
  </si>
  <si>
    <t>850</t>
  </si>
  <si>
    <t>852</t>
  </si>
  <si>
    <t>291</t>
  </si>
  <si>
    <t>853</t>
  </si>
  <si>
    <t>292</t>
  </si>
  <si>
    <t>295</t>
  </si>
  <si>
    <t>Расходы на проведение работ по технической паспортизации муниципального имущества</t>
  </si>
  <si>
    <t xml:space="preserve">Реализация мероприятий  </t>
  </si>
  <si>
    <t xml:space="preserve">Социальное обеспечение и иные выплаты населению </t>
  </si>
  <si>
    <t>300</t>
  </si>
  <si>
    <t>Иные выплаты населению</t>
  </si>
  <si>
    <t>360</t>
  </si>
  <si>
    <t>296</t>
  </si>
  <si>
    <t>297</t>
  </si>
  <si>
    <t>Непрограммные направления деятельности "Мероприятия в области культуры  и кинематографии"</t>
  </si>
  <si>
    <t>Расходы на укрепление общероссийской гражданской индентичности. Торжественные мероприятия, приуроченные к памятным датам в истории народов России, государственным праздникам</t>
  </si>
  <si>
    <t>Непрограммные направления деятельности "Расходы за счет средств федерального бюджета, не отнесенные к государственным программам"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</si>
  <si>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</si>
  <si>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переданных полномочий Российской Федерации на государственную регистрацию актов гражданского состояния</t>
  </si>
  <si>
    <t>4010059300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</si>
  <si>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округа-Югры</t>
  </si>
  <si>
    <t>40100D9300</t>
  </si>
  <si>
    <t>Непрограммное направление деятельности "Мероприятия по защите населения и территории от чрезвычайных ситуаций природного и техногенного характера, гражданская оборона"</t>
  </si>
  <si>
    <t>4020000000</t>
  </si>
  <si>
    <t>Реализация мероприятий</t>
  </si>
  <si>
    <t>4020099990</t>
  </si>
  <si>
    <t>247</t>
  </si>
  <si>
    <t>223</t>
  </si>
  <si>
    <t>Муниципальная программа  «Профилактика правонарушений и обеспечение отдельных прав граждан в муниципальном образовании сельское поселение Перегребное»</t>
  </si>
  <si>
    <t>0200000000</t>
  </si>
  <si>
    <t>Основное мероприятие «Профилактика  правонарушений в сфере общественного порядка»</t>
  </si>
  <si>
    <t>0200100000</t>
  </si>
  <si>
    <t>Расходы на создание условий для деятельности  народных дружин</t>
  </si>
  <si>
    <t>0200182300</t>
  </si>
  <si>
    <t>123</t>
  </si>
  <si>
    <t>02001S2300</t>
  </si>
  <si>
    <t>Непрограммные направления деятельности "Мероприятия в области национальной экономики"</t>
  </si>
  <si>
    <t xml:space="preserve">Расходы на реализацию мероприятий по содействию трудоустройству граждан 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</si>
  <si>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</si>
  <si>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</si>
  <si>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 xml:space="preserve">Реализация  мероприятий по содействию трудоустройства граждан (не занятые трудовой деятельностью и безработные граждане поселения) </t>
  </si>
  <si>
    <t>Расходы на организацию мероприятий при осуществлении деятельности по обращению с животными без владельцев</t>
  </si>
  <si>
    <t>Дорожное хозяйство ( дорожные фонды)</t>
  </si>
  <si>
    <t>4030000000</t>
  </si>
  <si>
    <t>Расходы на капитальный ремонт и ремонт автомобильных дорог общего пользования местного значения</t>
  </si>
  <si>
    <t xml:space="preserve">Реализация мероприятий </t>
  </si>
  <si>
    <t>222</t>
  </si>
  <si>
    <t>Жилищное  хозяйство</t>
  </si>
  <si>
    <t>Муниципальная программа "Благоустройство населенных пунктов в сельском поселении Перегребное"</t>
  </si>
  <si>
    <t>0100000000</t>
  </si>
  <si>
    <t xml:space="preserve">Основное мероприятие "Реализация мероприятий по благоустройству территорий и комфортному проживанию населения сельского поселения Перегребное" </t>
  </si>
  <si>
    <t>0100100000</t>
  </si>
  <si>
    <t>Расходы на снос объектов признанных аварийными</t>
  </si>
  <si>
    <t>0100189108</t>
  </si>
  <si>
    <t>Непрограммные направления деятельности "Мероприятия в области жилищно-коммунального хозяйства"</t>
  </si>
  <si>
    <t>Расходы на капитальный ремонт жилого фонда</t>
  </si>
  <si>
    <t>243</t>
  </si>
  <si>
    <t>Расходы на обследование технического состояния объектов с целью признания их аварийными</t>
  </si>
  <si>
    <t>4060099990</t>
  </si>
  <si>
    <t>Коммунальное хозяйство</t>
  </si>
  <si>
    <t>Расходы на cодержание резервов  материальных ресурсов ( запасов) для предупреждения, ликвидации чрезвычайных ситуаций</t>
  </si>
  <si>
    <t>Предоставление субсидий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</si>
  <si>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</si>
  <si>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</t>
  </si>
  <si>
    <t xml:space="preserve">Расходы на реализацию полномочий в сфере жилищно-коммунального комплекса (подготовка осенне-зимнему периоду) 
</t>
  </si>
  <si>
    <t>4060089105</t>
  </si>
  <si>
    <t xml:space="preserve">Благоустройство </t>
  </si>
  <si>
    <t>0100189130</t>
  </si>
  <si>
    <t>0100199990</t>
  </si>
  <si>
    <t>Расходы на создание площадок временного накопления твердых коммунальных отходов</t>
  </si>
  <si>
    <t>0100189061</t>
  </si>
  <si>
    <t>Расходы на ликвидацию мест несанкционированного размещения отходов</t>
  </si>
  <si>
    <t>0100189062</t>
  </si>
  <si>
    <t>Культура</t>
  </si>
  <si>
    <t>4070000000</t>
  </si>
  <si>
    <t>Расходы на обеспечение деятельности (оказание услуг) муниципальных учреждений</t>
  </si>
  <si>
    <t>4070000590</t>
  </si>
  <si>
    <t>Предоставление субсидий бюджетным , автономным учреждениям и иным некоммерческим организациям</t>
  </si>
  <si>
    <t>Мероприятия в сфере культуры и кинематографии</t>
  </si>
  <si>
    <t>4070020700</t>
  </si>
  <si>
    <t>Другие вопросы в области культуры, кинематографии</t>
  </si>
  <si>
    <t>Расходы на проведение мероприятий</t>
  </si>
  <si>
    <t>4070089021</t>
  </si>
  <si>
    <t>Расходы на проведение организационных и культурно-просветительных мероприятий с ветеранами Октябрьского района</t>
  </si>
  <si>
    <t>4070089031</t>
  </si>
  <si>
    <t xml:space="preserve">Субсидии некоммерческим организациям (за исключением государственных(муниципальных)учреждений, государственных корпораций(компаний), публично-правовых компаний) 
</t>
  </si>
  <si>
    <t>Расходы на стимулирование культурного разнообразия в Октябрьском районе</t>
  </si>
  <si>
    <t>4070089032</t>
  </si>
  <si>
    <t xml:space="preserve">Здравоохранение </t>
  </si>
  <si>
    <t>Санитарно-эпидемиологическое благополучие</t>
  </si>
  <si>
    <t>Расходы на обработку контейнерных площадок и контейнеров</t>
  </si>
  <si>
    <t>Пенсионное обеспечение за выслугу лет</t>
  </si>
  <si>
    <t>Публичные нормативные социальные выплаты гражданам</t>
  </si>
  <si>
    <t>Физическая культура  и  спорт</t>
  </si>
  <si>
    <t>4100020800</t>
  </si>
  <si>
    <t>Непрограммные направления деятельности "Мероприятия в области физической культуры и спорта"</t>
  </si>
  <si>
    <t xml:space="preserve">Мероприятия в сфере физической  культуры и спорта </t>
  </si>
  <si>
    <t>Муниципальная программа "Инициативные проекты сельского поселения Перегребное на 2023-2025годы"</t>
  </si>
  <si>
    <t>0300000000</t>
  </si>
  <si>
    <t>Основное мероприятие "Реализация социально значимых инициативных проектов на территории сельского поселения Перегребное"</t>
  </si>
  <si>
    <t>0300100000</t>
  </si>
  <si>
    <t>Расходы на реализацию инициативного проекта «Крытый хоккейный корт холодного исполнения «Стальная тентовая конструкция СТК 30*60» в с. Перегребное»</t>
  </si>
  <si>
    <t>0300182756</t>
  </si>
  <si>
    <t xml:space="preserve">Доля софинансирования расходов на реализацию инициативного проекта «Крытый хоккейный корт холодного исполнения «Стальная тентовая конструкция СТК 30*60» в с. Перегребное </t>
  </si>
  <si>
    <t>03001S2756</t>
  </si>
  <si>
    <t>Расходы на реализацию мероприятий инициативного проекта «Крытый хоккейный корт холодного исполнения «Стальная тентовая конструкция СТК 30*60» в с. Перегребное</t>
  </si>
  <si>
    <t>0300192756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</si>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</sst>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_р_."/>
    <numFmt numFmtId="165" formatCode="0.0"/>
    <numFmt numFmtId="166" formatCode="00"/>
    <numFmt numFmtId="167" formatCode="#,##0.0"/>
    <numFmt numFmtId="168" formatCode="0000000"/>
    <numFmt numFmtId="169" formatCode="000"/>
    <numFmt numFmtId="170" formatCode="0000000000"/>
    <numFmt numFmtId="171" formatCode="#,##0.0;[Red]\-#,##0.0;0.0"/>
    <numFmt numFmtId="172" formatCode="00;;&quot;&quot;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b/>
      <sz val="10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 Cyr"/>
      <charset val="204"/>
    </font>
    <font>
      <b/>
      <sz val="10"/>
      <name val="Times New Roman Cyr"/>
      <charset val="204"/>
    </font>
    <font>
      <sz val="8"/>
      <color theme="1"/>
      <name val="Times New Roman"/>
      <family val="1"/>
      <charset val="204"/>
    </font>
    <font>
      <b/>
      <sz val="8"/>
      <name val="Times New Roman Cyr"/>
      <charset val="204"/>
    </font>
    <font>
      <sz val="7"/>
      <color rgb="FF2C2D2E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0" borderId="0"/>
    <xf numFmtId="0" fontId="19" fillId="0" borderId="0"/>
    <xf numFmtId="0" fontId="4" fillId="0" borderId="0"/>
    <xf numFmtId="0" fontId="4" fillId="0" borderId="0"/>
    <xf numFmtId="9" fontId="15" fillId="0" borderId="0" applyFont="0" applyFill="0" applyBorder="0" applyAlignment="0" applyProtection="0"/>
    <xf numFmtId="0" fontId="19" fillId="0" borderId="0"/>
    <xf numFmtId="0" fontId="4" fillId="0" borderId="0"/>
  </cellStyleXfs>
  <cellXfs count="203">
    <xf numFmtId="0" fontId="0" fillId="0" borderId="0" xfId="0"/>
    <xf numFmtId="0" fontId="0" fillId="0" borderId="0" xfId="0" applyFill="1"/>
    <xf numFmtId="0" fontId="5" fillId="0" borderId="0" xfId="1" applyFont="1" applyFill="1" applyAlignment="1" applyProtection="1">
      <protection hidden="1"/>
    </xf>
    <xf numFmtId="0" fontId="6" fillId="0" borderId="0" xfId="0" applyFont="1" applyFill="1"/>
    <xf numFmtId="0" fontId="7" fillId="0" borderId="0" xfId="0" applyFont="1" applyFill="1"/>
    <xf numFmtId="0" fontId="0" fillId="0" borderId="0" xfId="0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3" fillId="0" borderId="1" xfId="0" applyFont="1" applyFill="1" applyBorder="1" applyAlignment="1">
      <alignment horizontal="justify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49" fontId="13" fillId="0" borderId="7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5" fontId="13" fillId="0" borderId="8" xfId="0" applyNumberFormat="1" applyFont="1" applyFill="1" applyBorder="1" applyAlignment="1">
      <alignment horizontal="center"/>
    </xf>
    <xf numFmtId="165" fontId="13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justify" vertical="top" wrapText="1"/>
    </xf>
    <xf numFmtId="0" fontId="14" fillId="0" borderId="0" xfId="0" applyFont="1" applyFill="1"/>
    <xf numFmtId="0" fontId="13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5" fillId="0" borderId="0" xfId="0" applyFont="1" applyFill="1"/>
    <xf numFmtId="164" fontId="16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2" borderId="0" xfId="28" applyFont="1" applyFill="1"/>
    <xf numFmtId="0" fontId="10" fillId="2" borderId="0" xfId="1" applyFont="1" applyFill="1" applyAlignment="1" applyProtection="1">
      <alignment horizontal="right"/>
      <protection hidden="1"/>
    </xf>
    <xf numFmtId="0" fontId="21" fillId="2" borderId="0" xfId="33" applyFont="1" applyFill="1"/>
    <xf numFmtId="0" fontId="21" fillId="2" borderId="0" xfId="33" applyFont="1" applyFill="1" applyAlignment="1">
      <alignment horizontal="center" vertical="center"/>
    </xf>
    <xf numFmtId="0" fontId="21" fillId="2" borderId="0" xfId="33" applyFont="1" applyFill="1" applyAlignment="1">
      <alignment horizontal="center"/>
    </xf>
    <xf numFmtId="0" fontId="10" fillId="2" borderId="0" xfId="33" applyFont="1" applyFill="1" applyAlignment="1">
      <alignment horizontal="center" vertical="center"/>
    </xf>
    <xf numFmtId="0" fontId="10" fillId="2" borderId="0" xfId="33" applyFont="1" applyFill="1"/>
    <xf numFmtId="0" fontId="21" fillId="2" borderId="0" xfId="33" applyFont="1" applyFill="1" applyAlignment="1">
      <alignment vertical="top"/>
    </xf>
    <xf numFmtId="0" fontId="11" fillId="2" borderId="9" xfId="28" applyFont="1" applyFill="1" applyBorder="1" applyAlignment="1">
      <alignment horizontal="center" vertical="center"/>
    </xf>
    <xf numFmtId="0" fontId="22" fillId="2" borderId="1" xfId="28" applyFont="1" applyFill="1" applyBorder="1" applyAlignment="1">
      <alignment horizontal="center" vertical="center" wrapText="1"/>
    </xf>
    <xf numFmtId="0" fontId="22" fillId="2" borderId="2" xfId="28" applyFont="1" applyFill="1" applyBorder="1" applyAlignment="1">
      <alignment horizontal="center" vertical="center" wrapText="1"/>
    </xf>
    <xf numFmtId="0" fontId="22" fillId="2" borderId="1" xfId="33" applyFont="1" applyFill="1" applyBorder="1" applyAlignment="1">
      <alignment horizontal="center" vertical="center" wrapText="1"/>
    </xf>
    <xf numFmtId="0" fontId="22" fillId="2" borderId="1" xfId="34" applyFont="1" applyFill="1" applyBorder="1" applyAlignment="1">
      <alignment horizontal="center" vertical="center" wrapText="1"/>
    </xf>
    <xf numFmtId="165" fontId="22" fillId="2" borderId="2" xfId="35" applyNumberFormat="1" applyFont="1" applyFill="1" applyBorder="1" applyAlignment="1">
      <alignment horizontal="center" vertical="center" wrapText="1"/>
    </xf>
    <xf numFmtId="0" fontId="22" fillId="2" borderId="1" xfId="36" applyNumberFormat="1" applyFont="1" applyFill="1" applyBorder="1" applyAlignment="1" applyProtection="1">
      <alignment horizontal="center" vertical="center" wrapText="1"/>
      <protection hidden="1"/>
    </xf>
    <xf numFmtId="0" fontId="22" fillId="2" borderId="1" xfId="35" applyNumberFormat="1" applyFont="1" applyFill="1" applyBorder="1" applyAlignment="1" applyProtection="1">
      <alignment horizontal="center" vertical="center" wrapText="1"/>
      <protection hidden="1"/>
    </xf>
    <xf numFmtId="165" fontId="22" fillId="2" borderId="1" xfId="35" applyNumberFormat="1" applyFont="1" applyFill="1" applyBorder="1" applyAlignment="1">
      <alignment horizontal="center" vertical="center" wrapText="1"/>
    </xf>
    <xf numFmtId="0" fontId="22" fillId="2" borderId="1" xfId="35" applyFont="1" applyFill="1" applyBorder="1" applyAlignment="1">
      <alignment horizontal="center" vertical="center" wrapText="1"/>
    </xf>
    <xf numFmtId="165" fontId="22" fillId="2" borderId="1" xfId="35" applyNumberFormat="1" applyFont="1" applyFill="1" applyBorder="1" applyAlignment="1" applyProtection="1">
      <alignment horizontal="center" vertical="center" wrapText="1"/>
      <protection hidden="1"/>
    </xf>
    <xf numFmtId="0" fontId="23" fillId="2" borderId="0" xfId="33" applyFont="1" applyFill="1" applyAlignment="1">
      <alignment horizontal="center" vertical="center"/>
    </xf>
    <xf numFmtId="0" fontId="11" fillId="2" borderId="1" xfId="33" applyFont="1" applyFill="1" applyBorder="1" applyAlignment="1">
      <alignment horizontal="left" vertical="center" wrapText="1"/>
    </xf>
    <xf numFmtId="49" fontId="11" fillId="2" borderId="1" xfId="33" applyNumberFormat="1" applyFont="1" applyFill="1" applyBorder="1" applyAlignment="1">
      <alignment horizontal="center" vertical="center" wrapText="1"/>
    </xf>
    <xf numFmtId="165" fontId="11" fillId="2" borderId="1" xfId="33" applyNumberFormat="1" applyFont="1" applyFill="1" applyBorder="1" applyAlignment="1">
      <alignment horizontal="center" vertical="center" wrapText="1"/>
    </xf>
    <xf numFmtId="0" fontId="24" fillId="2" borderId="0" xfId="33" applyFont="1" applyFill="1"/>
    <xf numFmtId="0" fontId="10" fillId="2" borderId="1" xfId="33" applyFont="1" applyFill="1" applyBorder="1" applyAlignment="1">
      <alignment horizontal="left" vertical="center" wrapText="1"/>
    </xf>
    <xf numFmtId="49" fontId="10" fillId="2" borderId="1" xfId="33" applyNumberFormat="1" applyFont="1" applyFill="1" applyBorder="1" applyAlignment="1">
      <alignment horizontal="center" vertical="center" wrapText="1"/>
    </xf>
    <xf numFmtId="164" fontId="10" fillId="2" borderId="1" xfId="33" applyNumberFormat="1" applyFont="1" applyFill="1" applyBorder="1" applyAlignment="1">
      <alignment horizontal="center" vertical="center" wrapText="1"/>
    </xf>
    <xf numFmtId="165" fontId="21" fillId="2" borderId="1" xfId="33" applyNumberFormat="1" applyFont="1" applyFill="1" applyBorder="1" applyAlignment="1">
      <alignment horizontal="center" vertical="center"/>
    </xf>
    <xf numFmtId="0" fontId="21" fillId="2" borderId="1" xfId="33" applyFont="1" applyFill="1" applyBorder="1" applyAlignment="1">
      <alignment horizontal="center" vertical="center"/>
    </xf>
    <xf numFmtId="165" fontId="10" fillId="2" borderId="1" xfId="33" applyNumberFormat="1" applyFont="1" applyFill="1" applyBorder="1" applyAlignment="1">
      <alignment horizontal="center" vertical="center"/>
    </xf>
    <xf numFmtId="165" fontId="10" fillId="2" borderId="1" xfId="33" applyNumberFormat="1" applyFont="1" applyFill="1" applyBorder="1" applyAlignment="1">
      <alignment horizontal="center" vertical="center" wrapText="1"/>
    </xf>
    <xf numFmtId="164" fontId="11" fillId="2" borderId="1" xfId="33" applyNumberFormat="1" applyFont="1" applyFill="1" applyBorder="1" applyAlignment="1">
      <alignment horizontal="center" vertical="center" wrapText="1"/>
    </xf>
    <xf numFmtId="0" fontId="10" fillId="2" borderId="1" xfId="33" applyFont="1" applyFill="1" applyBorder="1" applyAlignment="1">
      <alignment vertical="center"/>
    </xf>
    <xf numFmtId="0" fontId="21" fillId="2" borderId="1" xfId="33" applyFont="1" applyFill="1" applyBorder="1" applyAlignment="1">
      <alignment horizontal="left" vertical="center" wrapText="1"/>
    </xf>
    <xf numFmtId="164" fontId="21" fillId="2" borderId="1" xfId="33" applyNumberFormat="1" applyFont="1" applyFill="1" applyBorder="1" applyAlignment="1">
      <alignment horizontal="center" vertical="center"/>
    </xf>
    <xf numFmtId="165" fontId="11" fillId="2" borderId="1" xfId="33" applyNumberFormat="1" applyFont="1" applyFill="1" applyBorder="1" applyAlignment="1">
      <alignment horizontal="center" vertical="center"/>
    </xf>
    <xf numFmtId="0" fontId="10" fillId="2" borderId="1" xfId="35" applyNumberFormat="1" applyFont="1" applyFill="1" applyBorder="1" applyAlignment="1" applyProtection="1">
      <alignment horizontal="left" vertical="center" wrapText="1"/>
      <protection hidden="1"/>
    </xf>
    <xf numFmtId="0" fontId="11" fillId="2" borderId="1" xfId="13" applyNumberFormat="1" applyFont="1" applyFill="1" applyBorder="1" applyAlignment="1" applyProtection="1">
      <alignment vertical="center" wrapText="1"/>
      <protection hidden="1"/>
    </xf>
    <xf numFmtId="166" fontId="11" fillId="2" borderId="1" xfId="13" applyNumberFormat="1" applyFont="1" applyFill="1" applyBorder="1" applyAlignment="1" applyProtection="1">
      <alignment horizontal="center" vertical="center"/>
      <protection hidden="1"/>
    </xf>
    <xf numFmtId="164" fontId="24" fillId="2" borderId="1" xfId="33" applyNumberFormat="1" applyFont="1" applyFill="1" applyBorder="1" applyAlignment="1">
      <alignment horizontal="center" vertical="center"/>
    </xf>
    <xf numFmtId="0" fontId="24" fillId="2" borderId="1" xfId="33" applyFont="1" applyFill="1" applyBorder="1" applyAlignment="1">
      <alignment horizontal="center" vertical="center"/>
    </xf>
    <xf numFmtId="165" fontId="24" fillId="2" borderId="1" xfId="33" applyNumberFormat="1" applyFont="1" applyFill="1" applyBorder="1" applyAlignment="1">
      <alignment horizontal="center" vertical="center"/>
    </xf>
    <xf numFmtId="0" fontId="10" fillId="2" borderId="1" xfId="13" applyNumberFormat="1" applyFont="1" applyFill="1" applyBorder="1" applyAlignment="1" applyProtection="1">
      <alignment wrapText="1"/>
      <protection hidden="1"/>
    </xf>
    <xf numFmtId="166" fontId="10" fillId="2" borderId="1" xfId="13" applyNumberFormat="1" applyFont="1" applyFill="1" applyBorder="1" applyAlignment="1" applyProtection="1">
      <alignment horizontal="center" vertical="center"/>
      <protection hidden="1"/>
    </xf>
    <xf numFmtId="0" fontId="24" fillId="2" borderId="1" xfId="33" applyFont="1" applyFill="1" applyBorder="1" applyAlignment="1">
      <alignment horizontal="left" vertical="center" wrapText="1"/>
    </xf>
    <xf numFmtId="2" fontId="10" fillId="2" borderId="1" xfId="33" applyNumberFormat="1" applyFont="1" applyFill="1" applyBorder="1" applyAlignment="1">
      <alignment horizontal="center" vertical="center" wrapText="1"/>
    </xf>
    <xf numFmtId="2" fontId="11" fillId="2" borderId="1" xfId="33" applyNumberFormat="1" applyFont="1" applyFill="1" applyBorder="1" applyAlignment="1">
      <alignment horizontal="center" vertical="center" wrapText="1"/>
    </xf>
    <xf numFmtId="0" fontId="10" fillId="2" borderId="2" xfId="33" applyFont="1" applyFill="1" applyBorder="1" applyAlignment="1">
      <alignment horizontal="left" vertical="center" wrapText="1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166" fontId="10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6" xfId="33" applyNumberFormat="1" applyFont="1" applyFill="1" applyBorder="1" applyAlignment="1">
      <alignment horizontal="center" vertical="center" wrapText="1"/>
    </xf>
    <xf numFmtId="167" fontId="10" fillId="2" borderId="0" xfId="33" applyNumberFormat="1" applyFont="1" applyFill="1" applyAlignment="1">
      <alignment horizontal="center" vertical="center"/>
    </xf>
    <xf numFmtId="167" fontId="25" fillId="2" borderId="0" xfId="33" applyNumberFormat="1" applyFont="1" applyFill="1" applyAlignment="1">
      <alignment horizontal="center" vertical="center"/>
    </xf>
    <xf numFmtId="0" fontId="21" fillId="2" borderId="0" xfId="33" applyFont="1" applyFill="1" applyAlignment="1">
      <alignment horizontal="right"/>
    </xf>
    <xf numFmtId="0" fontId="10" fillId="2" borderId="0" xfId="38" applyFont="1" applyFill="1" applyAlignment="1">
      <alignment horizontal="right" vertical="center"/>
    </xf>
    <xf numFmtId="0" fontId="26" fillId="2" borderId="0" xfId="34" applyFont="1" applyFill="1"/>
    <xf numFmtId="0" fontId="26" fillId="2" borderId="0" xfId="34" applyFont="1" applyFill="1" applyAlignment="1">
      <alignment horizontal="left" vertical="center"/>
    </xf>
    <xf numFmtId="0" fontId="26" fillId="2" borderId="0" xfId="34" applyFont="1" applyFill="1" applyAlignment="1">
      <alignment horizontal="center" vertical="center"/>
    </xf>
    <xf numFmtId="0" fontId="10" fillId="2" borderId="0" xfId="34" applyFont="1" applyFill="1" applyAlignment="1">
      <alignment horizontal="center" vertical="center"/>
    </xf>
    <xf numFmtId="0" fontId="27" fillId="2" borderId="9" xfId="34" applyFont="1" applyFill="1" applyBorder="1" applyAlignment="1">
      <alignment horizontal="center" vertical="center" wrapText="1"/>
    </xf>
    <xf numFmtId="0" fontId="10" fillId="2" borderId="1" xfId="34" applyFont="1" applyFill="1" applyBorder="1" applyAlignment="1">
      <alignment horizontal="center" vertical="center" wrapText="1"/>
    </xf>
    <xf numFmtId="0" fontId="10" fillId="2" borderId="1" xfId="35" applyFont="1" applyFill="1" applyBorder="1" applyAlignment="1">
      <alignment horizontal="center" vertical="center" wrapText="1"/>
    </xf>
    <xf numFmtId="0" fontId="10" fillId="0" borderId="1" xfId="35" applyFont="1" applyBorder="1" applyAlignment="1">
      <alignment horizontal="center" vertical="center" wrapText="1"/>
    </xf>
    <xf numFmtId="0" fontId="9" fillId="2" borderId="1" xfId="34" applyFont="1" applyFill="1" applyBorder="1" applyAlignment="1">
      <alignment horizontal="left" vertical="center" wrapText="1"/>
    </xf>
    <xf numFmtId="49" fontId="9" fillId="2" borderId="1" xfId="34" applyNumberFormat="1" applyFont="1" applyFill="1" applyBorder="1" applyAlignment="1">
      <alignment horizontal="center" vertical="center"/>
    </xf>
    <xf numFmtId="165" fontId="9" fillId="2" borderId="1" xfId="34" applyNumberFormat="1" applyFont="1" applyFill="1" applyBorder="1" applyAlignment="1">
      <alignment horizontal="center" vertical="center"/>
    </xf>
    <xf numFmtId="167" fontId="9" fillId="2" borderId="1" xfId="34" applyNumberFormat="1" applyFont="1" applyFill="1" applyBorder="1" applyAlignment="1">
      <alignment horizontal="center" vertical="center"/>
    </xf>
    <xf numFmtId="165" fontId="13" fillId="2" borderId="1" xfId="34" applyNumberFormat="1" applyFont="1" applyFill="1" applyBorder="1" applyAlignment="1">
      <alignment horizontal="center" vertical="center"/>
    </xf>
    <xf numFmtId="0" fontId="28" fillId="2" borderId="0" xfId="34" applyFont="1" applyFill="1"/>
    <xf numFmtId="0" fontId="2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10" xfId="34" applyFont="1" applyFill="1" applyBorder="1" applyAlignment="1">
      <alignment horizontal="left" vertical="center" wrapText="1"/>
    </xf>
    <xf numFmtId="49" fontId="10" fillId="2" borderId="1" xfId="34" applyNumberFormat="1" applyFont="1" applyFill="1" applyBorder="1" applyAlignment="1">
      <alignment horizontal="center" vertical="center"/>
    </xf>
    <xf numFmtId="165" fontId="10" fillId="2" borderId="1" xfId="34" applyNumberFormat="1" applyFont="1" applyFill="1" applyBorder="1" applyAlignment="1">
      <alignment horizontal="center" vertical="center"/>
    </xf>
    <xf numFmtId="167" fontId="10" fillId="2" borderId="1" xfId="34" applyNumberFormat="1" applyFont="1" applyFill="1" applyBorder="1" applyAlignment="1">
      <alignment horizontal="center" vertical="center"/>
    </xf>
    <xf numFmtId="0" fontId="10" fillId="2" borderId="1" xfId="34" applyFont="1" applyFill="1" applyBorder="1" applyAlignment="1">
      <alignment horizontal="left" vertical="center" wrapText="1"/>
    </xf>
    <xf numFmtId="0" fontId="10" fillId="2" borderId="2" xfId="35" applyNumberFormat="1" applyFont="1" applyFill="1" applyBorder="1" applyAlignment="1" applyProtection="1">
      <alignment horizontal="left" vertical="center" wrapText="1"/>
      <protection hidden="1"/>
    </xf>
    <xf numFmtId="0" fontId="10" fillId="2" borderId="1" xfId="34" applyFont="1" applyFill="1" applyBorder="1" applyAlignment="1">
      <alignment horizontal="center" vertical="center"/>
    </xf>
    <xf numFmtId="0" fontId="22" fillId="2" borderId="1" xfId="34" applyFont="1" applyFill="1" applyBorder="1" applyAlignment="1">
      <alignment horizontal="left" vertical="center" wrapText="1"/>
    </xf>
    <xf numFmtId="0" fontId="9" fillId="2" borderId="1" xfId="34" applyFont="1" applyFill="1" applyBorder="1" applyAlignment="1">
      <alignment horizontal="center" vertical="center"/>
    </xf>
    <xf numFmtId="0" fontId="11" fillId="2" borderId="1" xfId="34" applyFont="1" applyFill="1" applyBorder="1" applyAlignment="1">
      <alignment horizontal="left" vertical="center" wrapText="1"/>
    </xf>
    <xf numFmtId="0" fontId="30" fillId="2" borderId="1" xfId="35" applyNumberFormat="1" applyFont="1" applyFill="1" applyBorder="1" applyAlignment="1" applyProtection="1">
      <alignment horizontal="left" vertical="center" wrapText="1"/>
      <protection hidden="1"/>
    </xf>
    <xf numFmtId="166" fontId="31" fillId="2" borderId="1" xfId="35" applyNumberFormat="1" applyFont="1" applyFill="1" applyBorder="1" applyAlignment="1" applyProtection="1">
      <alignment horizontal="center" vertical="center" wrapText="1"/>
      <protection hidden="1"/>
    </xf>
    <xf numFmtId="166" fontId="31" fillId="2" borderId="1" xfId="35" applyNumberFormat="1" applyFont="1" applyFill="1" applyBorder="1" applyAlignment="1" applyProtection="1">
      <alignment horizontal="center" vertical="center"/>
      <protection hidden="1"/>
    </xf>
    <xf numFmtId="168" fontId="30" fillId="2" borderId="1" xfId="35" applyNumberFormat="1" applyFont="1" applyFill="1" applyBorder="1" applyAlignment="1" applyProtection="1">
      <alignment horizontal="center" vertical="center"/>
      <protection hidden="1"/>
    </xf>
    <xf numFmtId="169" fontId="30" fillId="2" borderId="1" xfId="35" applyNumberFormat="1" applyFont="1" applyFill="1" applyBorder="1" applyAlignment="1" applyProtection="1">
      <alignment horizontal="center" vertical="center" wrapText="1"/>
      <protection hidden="1"/>
    </xf>
    <xf numFmtId="166" fontId="10" fillId="2" borderId="1" xfId="35" applyNumberFormat="1" applyFont="1" applyFill="1" applyBorder="1" applyAlignment="1" applyProtection="1">
      <alignment horizontal="center" vertical="center" wrapText="1"/>
      <protection hidden="1"/>
    </xf>
    <xf numFmtId="166" fontId="10" fillId="2" borderId="1" xfId="35" applyNumberFormat="1" applyFont="1" applyFill="1" applyBorder="1" applyAlignment="1" applyProtection="1">
      <alignment horizontal="center" vertical="center"/>
      <protection hidden="1"/>
    </xf>
    <xf numFmtId="168" fontId="10" fillId="2" borderId="1" xfId="35" applyNumberFormat="1" applyFont="1" applyFill="1" applyBorder="1" applyAlignment="1" applyProtection="1">
      <alignment horizontal="center" vertical="center"/>
      <protection hidden="1"/>
    </xf>
    <xf numFmtId="169" fontId="10" fillId="2" borderId="1" xfId="35" applyNumberFormat="1" applyFont="1" applyFill="1" applyBorder="1" applyAlignment="1" applyProtection="1">
      <alignment horizontal="center" vertical="center" wrapText="1"/>
      <protection hidden="1"/>
    </xf>
    <xf numFmtId="0" fontId="10" fillId="2" borderId="2" xfId="34" applyFont="1" applyFill="1" applyBorder="1" applyAlignment="1">
      <alignment horizontal="left" vertical="center" wrapText="1"/>
    </xf>
    <xf numFmtId="0" fontId="10" fillId="2" borderId="1" xfId="34" applyNumberFormat="1" applyFont="1" applyFill="1" applyBorder="1" applyAlignment="1">
      <alignment horizontal="center" vertical="center"/>
    </xf>
    <xf numFmtId="0" fontId="31" fillId="2" borderId="1" xfId="35" applyNumberFormat="1" applyFont="1" applyFill="1" applyBorder="1" applyAlignment="1" applyProtection="1">
      <alignment horizontal="left" vertical="center" wrapText="1"/>
      <protection hidden="1"/>
    </xf>
    <xf numFmtId="49" fontId="10" fillId="2" borderId="6" xfId="34" applyNumberFormat="1" applyFont="1" applyFill="1" applyBorder="1" applyAlignment="1">
      <alignment horizontal="center" vertical="center"/>
    </xf>
    <xf numFmtId="169" fontId="10" fillId="2" borderId="6" xfId="3" applyNumberFormat="1" applyFont="1" applyFill="1" applyBorder="1" applyAlignment="1" applyProtection="1">
      <alignment horizontal="center" vertical="center"/>
      <protection hidden="1"/>
    </xf>
    <xf numFmtId="165" fontId="10" fillId="2" borderId="6" xfId="34" applyNumberFormat="1" applyFont="1" applyFill="1" applyBorder="1" applyAlignment="1">
      <alignment horizontal="center" vertical="center"/>
    </xf>
    <xf numFmtId="167" fontId="10" fillId="2" borderId="6" xfId="34" applyNumberFormat="1" applyFont="1" applyFill="1" applyBorder="1" applyAlignment="1">
      <alignment horizontal="center" vertical="center"/>
    </xf>
    <xf numFmtId="169" fontId="10" fillId="2" borderId="1" xfId="3" applyNumberFormat="1" applyFont="1" applyFill="1" applyBorder="1" applyAlignment="1" applyProtection="1">
      <alignment horizontal="center" vertical="center"/>
      <protection hidden="1"/>
    </xf>
    <xf numFmtId="0" fontId="10" fillId="2" borderId="4" xfId="34" applyFont="1" applyFill="1" applyBorder="1" applyAlignment="1">
      <alignment horizontal="left" vertical="center" wrapText="1"/>
    </xf>
    <xf numFmtId="0" fontId="10" fillId="2" borderId="11" xfId="34" applyNumberFormat="1" applyFont="1" applyFill="1" applyBorder="1" applyAlignment="1" applyProtection="1">
      <alignment horizontal="left" vertical="center" wrapText="1"/>
      <protection hidden="1"/>
    </xf>
    <xf numFmtId="170" fontId="10" fillId="2" borderId="1" xfId="3" applyNumberFormat="1" applyFont="1" applyFill="1" applyBorder="1" applyAlignment="1" applyProtection="1">
      <alignment horizontal="center" vertical="center"/>
      <protection hidden="1"/>
    </xf>
    <xf numFmtId="166" fontId="30" fillId="2" borderId="1" xfId="35" applyNumberFormat="1" applyFont="1" applyFill="1" applyBorder="1" applyAlignment="1" applyProtection="1">
      <alignment horizontal="center" vertical="center" wrapText="1"/>
      <protection hidden="1"/>
    </xf>
    <xf numFmtId="166" fontId="30" fillId="2" borderId="1" xfId="35" applyNumberFormat="1" applyFont="1" applyFill="1" applyBorder="1" applyAlignment="1" applyProtection="1">
      <alignment horizontal="center" vertical="center"/>
      <protection hidden="1"/>
    </xf>
    <xf numFmtId="0" fontId="29" fillId="2" borderId="1" xfId="35" applyNumberFormat="1" applyFont="1" applyFill="1" applyBorder="1" applyAlignment="1" applyProtection="1">
      <alignment horizontal="left" vertical="center" wrapText="1"/>
      <protection hidden="1"/>
    </xf>
    <xf numFmtId="171" fontId="10" fillId="2" borderId="1" xfId="13" applyNumberFormat="1" applyFont="1" applyFill="1" applyBorder="1" applyAlignment="1" applyProtection="1">
      <alignment horizontal="left" vertical="center" wrapText="1"/>
      <protection hidden="1"/>
    </xf>
    <xf numFmtId="0" fontId="3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1" xfId="34" applyNumberFormat="1" applyFont="1" applyFill="1" applyBorder="1" applyAlignment="1" applyProtection="1">
      <alignment horizontal="left" vertical="center" wrapText="1"/>
      <protection hidden="1"/>
    </xf>
    <xf numFmtId="0" fontId="10" fillId="2" borderId="12" xfId="34" applyFont="1" applyFill="1" applyBorder="1" applyAlignment="1">
      <alignment horizontal="left" vertical="center" wrapText="1"/>
    </xf>
    <xf numFmtId="0" fontId="9" fillId="2" borderId="7" xfId="1" applyNumberFormat="1" applyFont="1" applyFill="1" applyBorder="1" applyAlignment="1" applyProtection="1">
      <alignment horizontal="left" vertical="center" wrapText="1"/>
      <protection hidden="1"/>
    </xf>
    <xf numFmtId="0" fontId="10" fillId="2" borderId="6" xfId="34" applyFont="1" applyFill="1" applyBorder="1" applyAlignment="1">
      <alignment horizontal="center" vertical="center"/>
    </xf>
    <xf numFmtId="0" fontId="30" fillId="2" borderId="1" xfId="35" applyFont="1" applyFill="1" applyBorder="1" applyAlignment="1">
      <alignment horizontal="left" vertical="center" wrapText="1"/>
    </xf>
    <xf numFmtId="171" fontId="9" fillId="2" borderId="1" xfId="13" applyNumberFormat="1" applyFont="1" applyFill="1" applyBorder="1" applyAlignment="1" applyProtection="1">
      <alignment horizontal="left" vertical="center" wrapText="1"/>
      <protection hidden="1"/>
    </xf>
    <xf numFmtId="172" fontId="10" fillId="2" borderId="1" xfId="13" applyNumberFormat="1" applyFont="1" applyFill="1" applyBorder="1" applyAlignment="1" applyProtection="1">
      <alignment horizontal="center" vertical="center"/>
      <protection hidden="1"/>
    </xf>
    <xf numFmtId="49" fontId="10" fillId="2" borderId="1" xfId="13" applyNumberFormat="1" applyFont="1" applyFill="1" applyBorder="1" applyAlignment="1" applyProtection="1">
      <alignment horizontal="center" vertical="center"/>
      <protection hidden="1"/>
    </xf>
    <xf numFmtId="166" fontId="32" fillId="2" borderId="1" xfId="35" applyNumberFormat="1" applyFont="1" applyFill="1" applyBorder="1" applyAlignment="1" applyProtection="1">
      <alignment horizontal="center" vertical="center" wrapText="1"/>
      <protection hidden="1"/>
    </xf>
    <xf numFmtId="166" fontId="32" fillId="2" borderId="1" xfId="35" applyNumberFormat="1" applyFont="1" applyFill="1" applyBorder="1" applyAlignment="1" applyProtection="1">
      <alignment horizontal="center" vertical="center"/>
      <protection hidden="1"/>
    </xf>
    <xf numFmtId="168" fontId="32" fillId="2" borderId="1" xfId="35" applyNumberFormat="1" applyFont="1" applyFill="1" applyBorder="1" applyAlignment="1" applyProtection="1">
      <alignment horizontal="center" vertical="center"/>
      <protection hidden="1"/>
    </xf>
    <xf numFmtId="169" fontId="32" fillId="2" borderId="1" xfId="35" applyNumberFormat="1" applyFont="1" applyFill="1" applyBorder="1" applyAlignment="1" applyProtection="1">
      <alignment horizontal="center" vertical="center" wrapText="1"/>
      <protection hidden="1"/>
    </xf>
    <xf numFmtId="0" fontId="33" fillId="2" borderId="1" xfId="34" applyFont="1" applyFill="1" applyBorder="1" applyAlignment="1">
      <alignment horizontal="left" vertical="center" wrapText="1"/>
    </xf>
    <xf numFmtId="168" fontId="31" fillId="2" borderId="1" xfId="35" applyNumberFormat="1" applyFont="1" applyFill="1" applyBorder="1" applyAlignment="1" applyProtection="1">
      <alignment horizontal="center" vertical="center"/>
      <protection hidden="1"/>
    </xf>
    <xf numFmtId="169" fontId="34" fillId="2" borderId="1" xfId="35" applyNumberFormat="1" applyFont="1" applyFill="1" applyBorder="1" applyAlignment="1" applyProtection="1">
      <alignment horizontal="center" vertical="center" wrapText="1"/>
      <protection hidden="1"/>
    </xf>
    <xf numFmtId="169" fontId="31" fillId="2" borderId="1" xfId="35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35" applyNumberFormat="1" applyFont="1" applyFill="1" applyBorder="1" applyAlignment="1" applyProtection="1">
      <alignment horizontal="left" vertical="center" wrapText="1"/>
      <protection hidden="1"/>
    </xf>
    <xf numFmtId="0" fontId="32" fillId="2" borderId="1" xfId="35" applyNumberFormat="1" applyFont="1" applyFill="1" applyBorder="1" applyAlignment="1" applyProtection="1">
      <alignment horizontal="left" vertical="center" wrapText="1"/>
      <protection hidden="1"/>
    </xf>
    <xf numFmtId="165" fontId="32" fillId="2" borderId="1" xfId="35" applyNumberFormat="1" applyFont="1" applyFill="1" applyBorder="1" applyAlignment="1" applyProtection="1">
      <alignment horizontal="center" vertical="center"/>
      <protection hidden="1"/>
    </xf>
    <xf numFmtId="165" fontId="31" fillId="2" borderId="1" xfId="35" applyNumberFormat="1" applyFont="1" applyFill="1" applyBorder="1" applyAlignment="1" applyProtection="1">
      <alignment horizontal="center" vertical="center"/>
      <protection hidden="1"/>
    </xf>
    <xf numFmtId="49" fontId="10" fillId="2" borderId="1" xfId="35" applyNumberFormat="1" applyFont="1" applyFill="1" applyBorder="1" applyAlignment="1" applyProtection="1">
      <alignment horizontal="center" vertical="center" wrapText="1"/>
      <protection hidden="1"/>
    </xf>
    <xf numFmtId="170" fontId="10" fillId="2" borderId="3" xfId="34" applyNumberFormat="1" applyFont="1" applyFill="1" applyBorder="1" applyAlignment="1" applyProtection="1">
      <alignment horizontal="center" vertical="center"/>
      <protection hidden="1"/>
    </xf>
    <xf numFmtId="0" fontId="35" fillId="2" borderId="0" xfId="34" applyFont="1" applyFill="1" applyAlignment="1">
      <alignment horizontal="left" vertical="center" wrapText="1"/>
    </xf>
    <xf numFmtId="166" fontId="9" fillId="2" borderId="1" xfId="35" applyNumberFormat="1" applyFont="1" applyFill="1" applyBorder="1" applyAlignment="1" applyProtection="1">
      <alignment horizontal="center" vertical="center"/>
      <protection hidden="1"/>
    </xf>
    <xf numFmtId="49" fontId="9" fillId="2" borderId="1" xfId="35" applyNumberFormat="1" applyFont="1" applyFill="1" applyBorder="1" applyAlignment="1" applyProtection="1">
      <alignment horizontal="center" vertical="center" wrapText="1"/>
      <protection hidden="1"/>
    </xf>
    <xf numFmtId="169" fontId="29" fillId="2" borderId="1" xfId="35" applyNumberFormat="1" applyFont="1" applyFill="1" applyBorder="1" applyAlignment="1" applyProtection="1">
      <alignment horizontal="center" vertical="center" wrapText="1"/>
      <protection hidden="1"/>
    </xf>
    <xf numFmtId="0" fontId="10" fillId="2" borderId="0" xfId="34" applyFont="1" applyFill="1" applyAlignment="1">
      <alignment horizontal="left" vertical="center" wrapText="1"/>
    </xf>
    <xf numFmtId="166" fontId="29" fillId="2" borderId="1" xfId="35" applyNumberFormat="1" applyFont="1" applyFill="1" applyBorder="1" applyAlignment="1" applyProtection="1">
      <alignment horizontal="center" vertical="center"/>
      <protection hidden="1"/>
    </xf>
    <xf numFmtId="165" fontId="31" fillId="2" borderId="1" xfId="35" applyNumberFormat="1" applyFont="1" applyFill="1" applyBorder="1" applyAlignment="1" applyProtection="1">
      <alignment horizontal="center" vertical="center" wrapText="1"/>
      <protection hidden="1"/>
    </xf>
    <xf numFmtId="0" fontId="22" fillId="2" borderId="1" xfId="35" applyNumberFormat="1" applyFont="1" applyFill="1" applyBorder="1" applyAlignment="1" applyProtection="1">
      <alignment horizontal="left" vertical="center" wrapText="1"/>
      <protection hidden="1"/>
    </xf>
    <xf numFmtId="0" fontId="36" fillId="2" borderId="0" xfId="34" applyFont="1" applyFill="1" applyAlignment="1">
      <alignment horizontal="left" vertical="center" wrapText="1"/>
    </xf>
    <xf numFmtId="166" fontId="29" fillId="2" borderId="1" xfId="35" applyNumberFormat="1" applyFont="1" applyFill="1" applyBorder="1" applyAlignment="1" applyProtection="1">
      <alignment horizontal="center" vertical="center" wrapText="1"/>
      <protection hidden="1"/>
    </xf>
    <xf numFmtId="49" fontId="30" fillId="2" borderId="1" xfId="35" applyNumberFormat="1" applyFont="1" applyFill="1" applyBorder="1" applyAlignment="1" applyProtection="1">
      <alignment horizontal="center" vertical="center" wrapText="1"/>
      <protection hidden="1"/>
    </xf>
    <xf numFmtId="0" fontId="29" fillId="2" borderId="1" xfId="39" applyNumberFormat="1" applyFont="1" applyFill="1" applyBorder="1" applyAlignment="1" applyProtection="1">
      <alignment horizontal="left" vertical="center" wrapText="1"/>
      <protection hidden="1"/>
    </xf>
    <xf numFmtId="49" fontId="37" fillId="2" borderId="1" xfId="34" applyNumberFormat="1" applyFont="1" applyFill="1" applyBorder="1" applyAlignment="1">
      <alignment horizontal="center" vertical="center"/>
    </xf>
    <xf numFmtId="0" fontId="37" fillId="2" borderId="1" xfId="34" applyFont="1" applyFill="1" applyBorder="1" applyAlignment="1">
      <alignment horizontal="center" vertical="center"/>
    </xf>
    <xf numFmtId="0" fontId="33" fillId="2" borderId="0" xfId="34" applyFont="1" applyFill="1" applyAlignment="1">
      <alignment horizontal="left" vertical="center" wrapText="1"/>
    </xf>
    <xf numFmtId="49" fontId="21" fillId="2" borderId="1" xfId="34" applyNumberFormat="1" applyFont="1" applyFill="1" applyBorder="1" applyAlignment="1">
      <alignment horizontal="center" vertical="center"/>
    </xf>
    <xf numFmtId="0" fontId="21" fillId="2" borderId="1" xfId="34" applyFont="1" applyFill="1" applyBorder="1" applyAlignment="1">
      <alignment horizontal="center" vertical="center"/>
    </xf>
    <xf numFmtId="0" fontId="3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1" xfId="34" applyFont="1" applyFill="1" applyBorder="1" applyAlignment="1">
      <alignment horizontal="center" vertical="center"/>
    </xf>
    <xf numFmtId="49" fontId="13" fillId="2" borderId="1" xfId="34" applyNumberFormat="1" applyFont="1" applyFill="1" applyBorder="1" applyAlignment="1">
      <alignment horizontal="center" vertical="center"/>
    </xf>
    <xf numFmtId="0" fontId="19" fillId="2" borderId="0" xfId="34" applyFont="1" applyFill="1"/>
    <xf numFmtId="0" fontId="30" fillId="2" borderId="5" xfId="35" applyNumberFormat="1" applyFont="1" applyFill="1" applyBorder="1" applyAlignment="1" applyProtection="1">
      <alignment horizontal="left" vertical="center" wrapText="1"/>
      <protection hidden="1"/>
    </xf>
    <xf numFmtId="0" fontId="10" fillId="2" borderId="5" xfId="34" applyFont="1" applyFill="1" applyBorder="1" applyAlignment="1">
      <alignment horizontal="left" vertical="center" wrapText="1"/>
    </xf>
    <xf numFmtId="2" fontId="10" fillId="2" borderId="1" xfId="34" applyNumberFormat="1" applyFont="1" applyFill="1" applyBorder="1" applyAlignment="1">
      <alignment horizontal="center" vertical="center"/>
    </xf>
    <xf numFmtId="0" fontId="9" fillId="2" borderId="1" xfId="34" applyFont="1" applyFill="1" applyBorder="1" applyAlignment="1">
      <alignment horizontal="left" vertical="center"/>
    </xf>
  </cellXfs>
  <cellStyles count="40">
    <cellStyle name="Обычный" xfId="0" builtinId="0"/>
    <cellStyle name="Обычный 2" xfId="2"/>
    <cellStyle name="Обычный 2 10" xfId="3"/>
    <cellStyle name="Обычный 2 11" xfId="4"/>
    <cellStyle name="Обычный 2 12" xfId="5"/>
    <cellStyle name="Обычный 2 13" xfId="6"/>
    <cellStyle name="Обычный 2 14" xfId="7"/>
    <cellStyle name="Обычный 2 15" xfId="8"/>
    <cellStyle name="Обычный 2 16" xfId="9"/>
    <cellStyle name="Обычный 2 17" xfId="10"/>
    <cellStyle name="Обычный 2 18" xfId="11"/>
    <cellStyle name="Обычный 2 19" xfId="12"/>
    <cellStyle name="Обычный 2 2" xfId="13"/>
    <cellStyle name="Обычный 2 20" xfId="14"/>
    <cellStyle name="Обычный 2 21" xfId="15"/>
    <cellStyle name="Обычный 2 22" xfId="16"/>
    <cellStyle name="Обычный 2 22 2" xfId="33"/>
    <cellStyle name="Обычный 2 23" xfId="17"/>
    <cellStyle name="Обычный 2 24" xfId="18"/>
    <cellStyle name="Обычный 2 25" xfId="19"/>
    <cellStyle name="Обычный 2 3" xfId="20"/>
    <cellStyle name="Обычный 2 4" xfId="21"/>
    <cellStyle name="Обычный 2 5" xfId="22"/>
    <cellStyle name="Обычный 2 6" xfId="23"/>
    <cellStyle name="Обычный 2 7" xfId="24"/>
    <cellStyle name="Обычный 2 8" xfId="25"/>
    <cellStyle name="Обычный 2 9" xfId="26"/>
    <cellStyle name="Обычный 3" xfId="27"/>
    <cellStyle name="Обычный 3 2" xfId="34"/>
    <cellStyle name="Обычный 5" xfId="28"/>
    <cellStyle name="Обычный 6" xfId="29"/>
    <cellStyle name="Обычный 7" xfId="30"/>
    <cellStyle name="Обычный_03.10 Приложение 10" xfId="38"/>
    <cellStyle name="Обычный_Tmp2" xfId="1"/>
    <cellStyle name="Обычный_Tmp6" xfId="39"/>
    <cellStyle name="Обычный_Tmp7" xfId="35"/>
    <cellStyle name="Обычный_Tmp7 2" xfId="36"/>
    <cellStyle name="Процентный 2" xfId="31"/>
    <cellStyle name="Процентный 2 2" xfId="32"/>
    <cellStyle name="Процентный 3" xfId="3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T125"/>
  <sheetViews>
    <sheetView workbookViewId="0">
      <pane xSplit="2" ySplit="5" topLeftCell="AL33" activePane="bottomRight" state="frozen"/>
      <selection pane="topRight" activeCell="C1" sqref="C1"/>
      <selection pane="bottomLeft" activeCell="A6" sqref="A6"/>
      <selection pane="bottomRight" activeCell="B2" sqref="B2"/>
    </sheetView>
  </sheetViews>
  <sheetFormatPr defaultRowHeight="22.5" customHeight="1" x14ac:dyDescent="0.25"/>
  <cols>
    <col min="1" max="1" width="22.5703125" style="1" customWidth="1"/>
    <col min="2" max="2" width="42.7109375" style="1" customWidth="1"/>
    <col min="3" max="5" width="9.42578125" style="1" hidden="1" customWidth="1"/>
    <col min="6" max="6" width="12.5703125" style="1" hidden="1" customWidth="1"/>
    <col min="7" max="7" width="9.5703125" style="1" hidden="1" customWidth="1"/>
    <col min="8" max="8" width="12" style="1" hidden="1" customWidth="1"/>
    <col min="9" max="9" width="12.5703125" style="1" hidden="1" customWidth="1"/>
    <col min="10" max="10" width="9.5703125" style="1" hidden="1" customWidth="1"/>
    <col min="11" max="11" width="12" style="1" hidden="1" customWidth="1"/>
    <col min="12" max="12" width="8.85546875" style="1" hidden="1" customWidth="1"/>
    <col min="13" max="13" width="12.5703125" style="1" hidden="1" customWidth="1"/>
    <col min="14" max="14" width="9.5703125" style="1" hidden="1" customWidth="1"/>
    <col min="15" max="15" width="12" style="1" hidden="1" customWidth="1"/>
    <col min="16" max="16" width="9.85546875" style="1" hidden="1" customWidth="1"/>
    <col min="17" max="17" width="12.5703125" style="1" hidden="1" customWidth="1"/>
    <col min="18" max="18" width="9.5703125" style="1" hidden="1" customWidth="1"/>
    <col min="19" max="19" width="12" style="1" hidden="1" customWidth="1"/>
    <col min="20" max="20" width="9.7109375" style="1" hidden="1" customWidth="1"/>
    <col min="21" max="21" width="12.140625" style="1" hidden="1" customWidth="1"/>
    <col min="22" max="23" width="11" style="1" hidden="1" customWidth="1"/>
    <col min="24" max="24" width="10.42578125" style="1" hidden="1" customWidth="1"/>
    <col min="25" max="25" width="9.28515625" style="1" hidden="1" customWidth="1"/>
    <col min="26" max="26" width="10.5703125" style="1" hidden="1" customWidth="1"/>
    <col min="27" max="27" width="8.42578125" style="1" hidden="1" customWidth="1"/>
    <col min="28" max="28" width="10.7109375" style="1" hidden="1" customWidth="1"/>
    <col min="29" max="29" width="10.85546875" style="1" hidden="1" customWidth="1"/>
    <col min="30" max="31" width="10.7109375" style="1" hidden="1" customWidth="1"/>
    <col min="32" max="32" width="8.42578125" style="1" hidden="1" customWidth="1"/>
    <col min="33" max="34" width="10.7109375" style="1" hidden="1" customWidth="1"/>
    <col min="35" max="36" width="10.5703125" style="1" hidden="1" customWidth="1"/>
    <col min="37" max="37" width="10.140625" style="1" hidden="1" customWidth="1"/>
    <col min="38" max="38" width="10" style="1" customWidth="1"/>
    <col min="39" max="39" width="10.85546875" style="1" hidden="1" customWidth="1"/>
    <col min="40" max="40" width="10.7109375" style="1" hidden="1" customWidth="1"/>
    <col min="41" max="41" width="7.140625" style="1" hidden="1" customWidth="1"/>
    <col min="42" max="42" width="9" style="1" hidden="1" customWidth="1"/>
    <col min="43" max="43" width="9.140625" style="1" hidden="1" customWidth="1"/>
    <col min="44" max="44" width="9.7109375" style="1" hidden="1" customWidth="1"/>
    <col min="45" max="45" width="9" style="1" hidden="1" customWidth="1"/>
    <col min="46" max="46" width="5.85546875" style="1" hidden="1" customWidth="1"/>
    <col min="47" max="47" width="6.85546875" style="1" hidden="1" customWidth="1"/>
    <col min="48" max="48" width="10.28515625" style="1" customWidth="1"/>
    <col min="49" max="49" width="11.5703125" style="1" hidden="1" customWidth="1"/>
    <col min="50" max="50" width="9.140625" style="1" hidden="1" customWidth="1"/>
    <col min="51" max="52" width="9.42578125" style="1" hidden="1" customWidth="1"/>
    <col min="53" max="54" width="10.5703125" style="1" hidden="1" customWidth="1"/>
    <col min="55" max="56" width="10.42578125" style="1" hidden="1" customWidth="1"/>
    <col min="57" max="57" width="9.42578125" style="1" customWidth="1"/>
    <col min="58" max="58" width="9.28515625" style="1" hidden="1" customWidth="1"/>
    <col min="59" max="59" width="10.42578125" style="1" customWidth="1"/>
    <col min="60" max="63" width="10.5703125" style="1" hidden="1" customWidth="1"/>
    <col min="64" max="64" width="10.28515625" style="1" customWidth="1"/>
    <col min="65" max="65" width="8.85546875" style="1" customWidth="1"/>
    <col min="66" max="66" width="8.5703125" style="1" customWidth="1"/>
    <col min="67" max="67" width="10.42578125" style="1" hidden="1" customWidth="1"/>
    <col min="68" max="68" width="9.85546875" style="1" customWidth="1"/>
    <col min="69" max="69" width="10.28515625" style="1" hidden="1" customWidth="1"/>
    <col min="70" max="72" width="9.85546875" style="1" customWidth="1"/>
    <col min="73" max="16384" width="9.140625" style="1"/>
  </cols>
  <sheetData>
    <row r="1" spans="1:72" ht="22.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3"/>
      <c r="BA1" s="3"/>
      <c r="BB1" s="3"/>
      <c r="BC1" s="3"/>
      <c r="BD1" s="3"/>
      <c r="BE1" s="3"/>
      <c r="BF1" s="2"/>
      <c r="BG1" s="3"/>
      <c r="BJ1" s="3"/>
      <c r="BK1" s="3"/>
      <c r="BL1" s="3"/>
      <c r="BM1" s="3"/>
      <c r="BN1" s="3"/>
      <c r="BO1" s="3"/>
      <c r="BP1" s="3"/>
      <c r="BQ1" s="2"/>
      <c r="BR1" s="4" t="s">
        <v>0</v>
      </c>
      <c r="BS1" s="3"/>
      <c r="BT1" s="3"/>
    </row>
    <row r="2" spans="1:72" s="5" customFormat="1" ht="22.5" customHeight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F2" s="6"/>
      <c r="BG2" s="6"/>
      <c r="BH2" s="6"/>
      <c r="BI2" s="6"/>
      <c r="BJ2" s="6"/>
      <c r="BK2" s="6"/>
      <c r="BO2" s="6"/>
      <c r="BQ2" s="6"/>
    </row>
    <row r="3" spans="1:72" s="5" customFormat="1" ht="14.25" customHeight="1" x14ac:dyDescent="0.25">
      <c r="B3" s="7"/>
      <c r="C3" s="7"/>
      <c r="D3" s="7"/>
      <c r="E3" s="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</row>
    <row r="4" spans="1:72" ht="36" customHeight="1" x14ac:dyDescent="0.25">
      <c r="A4" s="9" t="s">
        <v>2</v>
      </c>
      <c r="B4" s="9" t="s">
        <v>3</v>
      </c>
      <c r="C4" s="10" t="s">
        <v>4</v>
      </c>
      <c r="D4" s="11" t="s">
        <v>5</v>
      </c>
      <c r="E4" s="10" t="s">
        <v>6</v>
      </c>
      <c r="F4" s="10" t="s">
        <v>7</v>
      </c>
      <c r="G4" s="11" t="s">
        <v>8</v>
      </c>
      <c r="H4" s="10" t="s">
        <v>9</v>
      </c>
      <c r="I4" s="10" t="s">
        <v>10</v>
      </c>
      <c r="J4" s="11" t="s">
        <v>11</v>
      </c>
      <c r="K4" s="10" t="s">
        <v>12</v>
      </c>
      <c r="L4" s="10" t="s">
        <v>13</v>
      </c>
      <c r="M4" s="12" t="s">
        <v>14</v>
      </c>
      <c r="N4" s="13" t="s">
        <v>15</v>
      </c>
      <c r="O4" s="10" t="s">
        <v>16</v>
      </c>
      <c r="P4" s="12" t="s">
        <v>17</v>
      </c>
      <c r="Q4" s="12" t="s">
        <v>18</v>
      </c>
      <c r="R4" s="13" t="s">
        <v>19</v>
      </c>
      <c r="S4" s="10" t="s">
        <v>20</v>
      </c>
      <c r="T4" s="12" t="s">
        <v>21</v>
      </c>
      <c r="U4" s="12" t="s">
        <v>22</v>
      </c>
      <c r="V4" s="13" t="s">
        <v>23</v>
      </c>
      <c r="W4" s="10" t="s">
        <v>24</v>
      </c>
      <c r="X4" s="12" t="s">
        <v>25</v>
      </c>
      <c r="Y4" s="12" t="s">
        <v>26</v>
      </c>
      <c r="Z4" s="13" t="s">
        <v>27</v>
      </c>
      <c r="AA4" s="10" t="s">
        <v>28</v>
      </c>
      <c r="AB4" s="12" t="s">
        <v>29</v>
      </c>
      <c r="AC4" s="12" t="s">
        <v>30</v>
      </c>
      <c r="AD4" s="13" t="s">
        <v>31</v>
      </c>
      <c r="AE4" s="10" t="s">
        <v>32</v>
      </c>
      <c r="AF4" s="12" t="s">
        <v>33</v>
      </c>
      <c r="AG4" s="12" t="s">
        <v>34</v>
      </c>
      <c r="AH4" s="14" t="s">
        <v>35</v>
      </c>
      <c r="AI4" s="15"/>
      <c r="AJ4" s="16"/>
      <c r="AK4" s="10" t="s">
        <v>36</v>
      </c>
      <c r="AL4" s="43" t="s">
        <v>37</v>
      </c>
      <c r="AM4" s="12" t="s">
        <v>38</v>
      </c>
      <c r="AN4" s="10" t="s">
        <v>39</v>
      </c>
      <c r="AO4" s="10"/>
      <c r="AP4" s="10"/>
      <c r="AQ4" s="10" t="s">
        <v>40</v>
      </c>
      <c r="AR4" s="10" t="s">
        <v>41</v>
      </c>
      <c r="AS4" s="10" t="s">
        <v>42</v>
      </c>
      <c r="AT4" s="10" t="s">
        <v>43</v>
      </c>
      <c r="AU4" s="10" t="s">
        <v>44</v>
      </c>
      <c r="AV4" s="43" t="s">
        <v>45</v>
      </c>
      <c r="AW4" s="12" t="s">
        <v>46</v>
      </c>
      <c r="AX4" s="47" t="s">
        <v>47</v>
      </c>
      <c r="AY4" s="48"/>
      <c r="AZ4" s="49"/>
      <c r="BA4" s="10" t="s">
        <v>48</v>
      </c>
      <c r="BB4" s="10" t="s">
        <v>49</v>
      </c>
      <c r="BC4" s="10" t="s">
        <v>50</v>
      </c>
      <c r="BD4" s="10" t="s">
        <v>51</v>
      </c>
      <c r="BE4" s="43" t="s">
        <v>52</v>
      </c>
      <c r="BF4" s="43" t="s">
        <v>53</v>
      </c>
      <c r="BG4" s="12" t="s">
        <v>54</v>
      </c>
      <c r="BH4" s="12"/>
      <c r="BI4" s="12"/>
      <c r="BJ4" s="43" t="s">
        <v>55</v>
      </c>
      <c r="BK4" s="43" t="s">
        <v>56</v>
      </c>
      <c r="BL4" s="43" t="s">
        <v>57</v>
      </c>
      <c r="BM4" s="43" t="s">
        <v>58</v>
      </c>
      <c r="BN4" s="43" t="s">
        <v>59</v>
      </c>
      <c r="BO4" s="43" t="s">
        <v>60</v>
      </c>
      <c r="BP4" s="43" t="s">
        <v>61</v>
      </c>
      <c r="BQ4" s="43" t="s">
        <v>62</v>
      </c>
      <c r="BR4" s="43" t="s">
        <v>63</v>
      </c>
      <c r="BS4" s="43" t="s">
        <v>64</v>
      </c>
      <c r="BT4" s="43" t="s">
        <v>65</v>
      </c>
    </row>
    <row r="5" spans="1:72" ht="0.75" customHeight="1" x14ac:dyDescent="0.25">
      <c r="A5" s="9"/>
      <c r="B5" s="9"/>
      <c r="C5" s="10"/>
      <c r="D5" s="10" t="s">
        <v>66</v>
      </c>
      <c r="E5" s="10" t="s">
        <v>67</v>
      </c>
      <c r="F5" s="10"/>
      <c r="G5" s="10" t="s">
        <v>66</v>
      </c>
      <c r="H5" s="10" t="s">
        <v>67</v>
      </c>
      <c r="I5" s="10"/>
      <c r="J5" s="10" t="s">
        <v>66</v>
      </c>
      <c r="K5" s="10" t="s">
        <v>67</v>
      </c>
      <c r="L5" s="10"/>
      <c r="M5" s="17"/>
      <c r="N5" s="10" t="s">
        <v>66</v>
      </c>
      <c r="O5" s="10" t="s">
        <v>67</v>
      </c>
      <c r="P5" s="17"/>
      <c r="Q5" s="17"/>
      <c r="R5" s="10" t="s">
        <v>66</v>
      </c>
      <c r="S5" s="10" t="s">
        <v>67</v>
      </c>
      <c r="T5" s="17"/>
      <c r="U5" s="17"/>
      <c r="V5" s="10" t="s">
        <v>66</v>
      </c>
      <c r="W5" s="10" t="s">
        <v>67</v>
      </c>
      <c r="X5" s="17"/>
      <c r="Y5" s="17"/>
      <c r="Z5" s="10" t="s">
        <v>66</v>
      </c>
      <c r="AA5" s="10" t="s">
        <v>67</v>
      </c>
      <c r="AB5" s="17"/>
      <c r="AC5" s="17"/>
      <c r="AD5" s="10" t="s">
        <v>66</v>
      </c>
      <c r="AE5" s="10" t="s">
        <v>67</v>
      </c>
      <c r="AF5" s="17"/>
      <c r="AG5" s="17"/>
      <c r="AH5" s="10" t="s">
        <v>68</v>
      </c>
      <c r="AI5" s="10" t="s">
        <v>69</v>
      </c>
      <c r="AJ5" s="10" t="s">
        <v>70</v>
      </c>
      <c r="AK5" s="10" t="s">
        <v>71</v>
      </c>
      <c r="AL5" s="44"/>
      <c r="AM5" s="17"/>
      <c r="AN5" s="10" t="s">
        <v>72</v>
      </c>
      <c r="AO5" s="10" t="s">
        <v>73</v>
      </c>
      <c r="AP5" s="10" t="s">
        <v>74</v>
      </c>
      <c r="AQ5" s="10" t="s">
        <v>72</v>
      </c>
      <c r="AR5" s="10" t="s">
        <v>72</v>
      </c>
      <c r="AS5" s="10">
        <v>2021</v>
      </c>
      <c r="AT5" s="10" t="s">
        <v>72</v>
      </c>
      <c r="AU5" s="17" t="s">
        <v>72</v>
      </c>
      <c r="AV5" s="44"/>
      <c r="AW5" s="17"/>
      <c r="AX5" s="10" t="s">
        <v>73</v>
      </c>
      <c r="AY5" s="10" t="s">
        <v>74</v>
      </c>
      <c r="AZ5" s="10" t="s">
        <v>75</v>
      </c>
      <c r="BA5" s="10" t="s">
        <v>73</v>
      </c>
      <c r="BB5" s="10" t="s">
        <v>73</v>
      </c>
      <c r="BC5" s="10" t="s">
        <v>73</v>
      </c>
      <c r="BD5" s="10" t="s">
        <v>73</v>
      </c>
      <c r="BE5" s="44"/>
      <c r="BF5" s="44"/>
      <c r="BG5" s="10">
        <v>2023</v>
      </c>
      <c r="BH5" s="17" t="s">
        <v>75</v>
      </c>
      <c r="BI5" s="17" t="s">
        <v>76</v>
      </c>
      <c r="BJ5" s="44"/>
      <c r="BK5" s="44"/>
      <c r="BL5" s="44" t="s">
        <v>74</v>
      </c>
      <c r="BM5" s="44"/>
      <c r="BN5" s="44"/>
      <c r="BO5" s="44"/>
      <c r="BP5" s="44"/>
      <c r="BQ5" s="44"/>
      <c r="BR5" s="44"/>
      <c r="BS5" s="44"/>
      <c r="BT5" s="44"/>
    </row>
    <row r="6" spans="1:72" ht="16.5" customHeight="1" x14ac:dyDescent="0.25">
      <c r="A6" s="18" t="s">
        <v>77</v>
      </c>
      <c r="B6" s="19" t="s">
        <v>78</v>
      </c>
      <c r="C6" s="20">
        <f t="shared" ref="C6:U6" si="0">C9+C21+C38+C33+C49+C45+C54+C63+C20</f>
        <v>16140.906929999997</v>
      </c>
      <c r="D6" s="20">
        <f t="shared" si="0"/>
        <v>13373</v>
      </c>
      <c r="E6" s="20">
        <f t="shared" si="0"/>
        <v>14647.999999999998</v>
      </c>
      <c r="F6" s="20">
        <f t="shared" si="0"/>
        <v>13763.941449999998</v>
      </c>
      <c r="G6" s="20">
        <f t="shared" si="0"/>
        <v>15260.5</v>
      </c>
      <c r="H6" s="20">
        <f t="shared" si="0"/>
        <v>15260.5</v>
      </c>
      <c r="I6" s="20">
        <f t="shared" si="0"/>
        <v>14448.493809999998</v>
      </c>
      <c r="J6" s="20">
        <f t="shared" si="0"/>
        <v>14576.5</v>
      </c>
      <c r="K6" s="20">
        <f t="shared" si="0"/>
        <v>14576.5</v>
      </c>
      <c r="L6" s="20">
        <f t="shared" si="0"/>
        <v>13989.008970000001</v>
      </c>
      <c r="M6" s="20">
        <f t="shared" si="0"/>
        <v>13980.341</v>
      </c>
      <c r="N6" s="20">
        <f t="shared" si="0"/>
        <v>15159.000000000002</v>
      </c>
      <c r="O6" s="20">
        <f t="shared" si="0"/>
        <v>14260.000000000002</v>
      </c>
      <c r="P6" s="20">
        <f t="shared" si="0"/>
        <v>13170.845810000001</v>
      </c>
      <c r="Q6" s="20">
        <f t="shared" si="0"/>
        <v>-30730.023000000001</v>
      </c>
      <c r="R6" s="20">
        <f t="shared" si="0"/>
        <v>13650</v>
      </c>
      <c r="S6" s="20">
        <f t="shared" si="0"/>
        <v>15389.800000000003</v>
      </c>
      <c r="T6" s="20">
        <f t="shared" si="0"/>
        <v>15451.032220000003</v>
      </c>
      <c r="U6" s="20">
        <f t="shared" si="0"/>
        <v>6904.7130200000001</v>
      </c>
      <c r="V6" s="20">
        <f t="shared" ref="V6:AV6" si="1">V9+V21+V38+V33+V49+V45+V54+V63+V20+V15</f>
        <v>18757.00201</v>
      </c>
      <c r="W6" s="20">
        <f t="shared" si="1"/>
        <v>19092.8</v>
      </c>
      <c r="X6" s="20">
        <f t="shared" si="1"/>
        <v>19252.400850000002</v>
      </c>
      <c r="Y6" s="20">
        <f t="shared" si="1"/>
        <v>19213.899510000003</v>
      </c>
      <c r="Z6" s="20">
        <f t="shared" si="1"/>
        <v>18388.702010000001</v>
      </c>
      <c r="AA6" s="20">
        <f t="shared" si="1"/>
        <v>20530.299999999996</v>
      </c>
      <c r="AB6" s="20">
        <f t="shared" si="1"/>
        <v>21906.476149999999</v>
      </c>
      <c r="AC6" s="20">
        <f t="shared" si="1"/>
        <v>24106.204109999995</v>
      </c>
      <c r="AD6" s="20">
        <f t="shared" si="1"/>
        <v>20058.202010000001</v>
      </c>
      <c r="AE6" s="20">
        <f t="shared" si="1"/>
        <v>22064.3</v>
      </c>
      <c r="AF6" s="20">
        <f t="shared" si="1"/>
        <v>22574.922399999996</v>
      </c>
      <c r="AG6" s="20">
        <f t="shared" si="1"/>
        <v>-9423.7916100000002</v>
      </c>
      <c r="AH6" s="20">
        <f t="shared" si="1"/>
        <v>21387.702010000001</v>
      </c>
      <c r="AI6" s="20">
        <f t="shared" si="1"/>
        <v>21279.802009999999</v>
      </c>
      <c r="AJ6" s="20">
        <f t="shared" si="1"/>
        <v>21315.802009999999</v>
      </c>
      <c r="AK6" s="20">
        <f t="shared" si="1"/>
        <v>22569.599999999999</v>
      </c>
      <c r="AL6" s="20">
        <f t="shared" si="1"/>
        <v>22645.173790000001</v>
      </c>
      <c r="AM6" s="20">
        <f t="shared" si="1"/>
        <v>102171.19170999998</v>
      </c>
      <c r="AN6" s="20">
        <f t="shared" si="1"/>
        <v>22876.902010000002</v>
      </c>
      <c r="AO6" s="20">
        <f t="shared" si="1"/>
        <v>22882.902010000002</v>
      </c>
      <c r="AP6" s="20">
        <f t="shared" si="1"/>
        <v>22888.902010000002</v>
      </c>
      <c r="AQ6" s="20">
        <f t="shared" si="1"/>
        <v>23425.4</v>
      </c>
      <c r="AR6" s="20">
        <f t="shared" si="1"/>
        <v>23557</v>
      </c>
      <c r="AS6" s="20">
        <f t="shared" si="1"/>
        <v>24317.599999999999</v>
      </c>
      <c r="AT6" s="20">
        <f t="shared" si="1"/>
        <v>24979.200000000004</v>
      </c>
      <c r="AU6" s="20">
        <f t="shared" si="1"/>
        <v>25993.500000000004</v>
      </c>
      <c r="AV6" s="20">
        <f t="shared" si="1"/>
        <v>27404.584459999998</v>
      </c>
      <c r="AW6" s="20">
        <f>AW9+AW21+AW38+AW33+AW49+AW45+AW54+AW63+AW20+AW15+AW24+AW32</f>
        <v>19186.837650000001</v>
      </c>
      <c r="AX6" s="20">
        <f t="shared" ref="AX6:BE6" si="2">AX9+AX21+AX38+AX33+AX49+AX45+AX54+AX63+AX20+AX15</f>
        <v>24879.802009999999</v>
      </c>
      <c r="AY6" s="20">
        <f t="shared" si="2"/>
        <v>25334.202010000001</v>
      </c>
      <c r="AZ6" s="20">
        <f t="shared" si="2"/>
        <v>25394.202010000001</v>
      </c>
      <c r="BA6" s="20">
        <f t="shared" si="2"/>
        <v>25996.5</v>
      </c>
      <c r="BB6" s="20">
        <f t="shared" si="2"/>
        <v>27014.6</v>
      </c>
      <c r="BC6" s="20">
        <f t="shared" si="2"/>
        <v>29163.299999999996</v>
      </c>
      <c r="BD6" s="20">
        <f t="shared" si="2"/>
        <v>30611.4</v>
      </c>
      <c r="BE6" s="20">
        <f t="shared" si="2"/>
        <v>31637.545190000004</v>
      </c>
      <c r="BF6" s="20">
        <f>BF9+BF21+BF38+BF33+BF49+BF45+BF54+BF63+BF20+BF15+BF24+BF32+BF44+BF50</f>
        <v>5662.0245500000055</v>
      </c>
      <c r="BG6" s="20">
        <f t="shared" ref="BG6:BP6" si="3">BG9+BG21+BG38+BG33+BG49+BG45+BG54+BG63+BG20+BG15</f>
        <v>27003.50201</v>
      </c>
      <c r="BH6" s="20">
        <f t="shared" si="3"/>
        <v>27454.402009999998</v>
      </c>
      <c r="BI6" s="20">
        <f t="shared" si="3"/>
        <v>27730.202010000001</v>
      </c>
      <c r="BJ6" s="21">
        <f t="shared" si="3"/>
        <v>27512.100000000002</v>
      </c>
      <c r="BK6" s="22">
        <f t="shared" si="3"/>
        <v>28017.800000000003</v>
      </c>
      <c r="BL6" s="20">
        <f t="shared" si="3"/>
        <v>31835.3</v>
      </c>
      <c r="BM6" s="20">
        <f>BL6-BG6</f>
        <v>4831.7979899999991</v>
      </c>
      <c r="BN6" s="20">
        <f>BL6/BG6*100</f>
        <v>117.89322728663369</v>
      </c>
      <c r="BO6" s="20">
        <f t="shared" si="3"/>
        <v>33508.602010000002</v>
      </c>
      <c r="BP6" s="20">
        <f t="shared" si="3"/>
        <v>34435.142929999995</v>
      </c>
      <c r="BQ6" s="20">
        <f>BQ9+BQ21+BQ38+BQ33+BQ49+BQ45+BQ54+BQ63+BQ20+BQ15+BQ24+BQ32+BQ44+BQ50</f>
        <v>15780.667609999997</v>
      </c>
      <c r="BR6" s="20">
        <f>BP6/BG6*100</f>
        <v>127.5210264107518</v>
      </c>
      <c r="BS6" s="20">
        <f>BP6/BL6*100</f>
        <v>108.16654132362503</v>
      </c>
      <c r="BT6" s="20">
        <f>BP6/BE6*100</f>
        <v>108.84265110709113</v>
      </c>
    </row>
    <row r="7" spans="1:72" s="23" customFormat="1" ht="13.5" customHeight="1" x14ac:dyDescent="0.25">
      <c r="A7" s="18"/>
      <c r="B7" s="19" t="s">
        <v>79</v>
      </c>
      <c r="C7" s="20">
        <f t="shared" ref="C7:U7" si="4">C9+C21+C33+C20</f>
        <v>11860.579899999999</v>
      </c>
      <c r="D7" s="20">
        <f t="shared" si="4"/>
        <v>11515</v>
      </c>
      <c r="E7" s="20">
        <f t="shared" si="4"/>
        <v>13246.999999999998</v>
      </c>
      <c r="F7" s="20">
        <f t="shared" si="4"/>
        <v>12462.593279999999</v>
      </c>
      <c r="G7" s="20">
        <f t="shared" si="4"/>
        <v>14150.5</v>
      </c>
      <c r="H7" s="20">
        <f t="shared" si="4"/>
        <v>14225.8</v>
      </c>
      <c r="I7" s="20">
        <f t="shared" si="4"/>
        <v>13489.69479</v>
      </c>
      <c r="J7" s="20">
        <f t="shared" si="4"/>
        <v>13635</v>
      </c>
      <c r="K7" s="20">
        <f t="shared" si="4"/>
        <v>13348</v>
      </c>
      <c r="L7" s="20">
        <f t="shared" si="4"/>
        <v>12802.795040000001</v>
      </c>
      <c r="M7" s="20">
        <f t="shared" si="4"/>
        <v>12794.12707</v>
      </c>
      <c r="N7" s="20">
        <f t="shared" si="4"/>
        <v>13790.400000000001</v>
      </c>
      <c r="O7" s="20">
        <f t="shared" si="4"/>
        <v>13790.400000000001</v>
      </c>
      <c r="P7" s="20">
        <f t="shared" si="4"/>
        <v>12953.173269999999</v>
      </c>
      <c r="Q7" s="20">
        <f t="shared" si="4"/>
        <v>12953.173269999999</v>
      </c>
      <c r="R7" s="20">
        <f t="shared" si="4"/>
        <v>13505</v>
      </c>
      <c r="S7" s="20">
        <f t="shared" si="4"/>
        <v>14713.300000000003</v>
      </c>
      <c r="T7" s="20">
        <f t="shared" si="4"/>
        <v>14774.520500000001</v>
      </c>
      <c r="U7" s="20">
        <f t="shared" si="4"/>
        <v>14774.520499999999</v>
      </c>
      <c r="V7" s="20">
        <f t="shared" ref="V7:BQ7" si="5">V9+V21+V33+V20+V15</f>
        <v>18601.00201</v>
      </c>
      <c r="W7" s="20">
        <f t="shared" si="5"/>
        <v>18735</v>
      </c>
      <c r="X7" s="20">
        <f t="shared" si="5"/>
        <v>18865.061850000002</v>
      </c>
      <c r="Y7" s="20">
        <f t="shared" si="5"/>
        <v>18856.844500000003</v>
      </c>
      <c r="Z7" s="20">
        <f t="shared" si="5"/>
        <v>18228.702010000001</v>
      </c>
      <c r="AA7" s="20">
        <f t="shared" si="5"/>
        <v>19445.899999999998</v>
      </c>
      <c r="AB7" s="20">
        <f t="shared" si="5"/>
        <v>20764.875219999998</v>
      </c>
      <c r="AC7" s="20">
        <f t="shared" si="5"/>
        <v>20874.892319999995</v>
      </c>
      <c r="AD7" s="20">
        <f t="shared" si="5"/>
        <v>19891.402010000002</v>
      </c>
      <c r="AE7" s="20">
        <f t="shared" si="5"/>
        <v>20881.400000000001</v>
      </c>
      <c r="AF7" s="20">
        <f t="shared" si="5"/>
        <v>21343.609350000002</v>
      </c>
      <c r="AG7" s="20">
        <f t="shared" si="5"/>
        <v>21537.677310000003</v>
      </c>
      <c r="AH7" s="20">
        <f t="shared" si="5"/>
        <v>20533.702010000001</v>
      </c>
      <c r="AI7" s="20">
        <f t="shared" si="5"/>
        <v>21120.302009999999</v>
      </c>
      <c r="AJ7" s="20">
        <f t="shared" si="5"/>
        <v>21156.302009999999</v>
      </c>
      <c r="AK7" s="20">
        <f t="shared" si="5"/>
        <v>20107.099999999999</v>
      </c>
      <c r="AL7" s="20">
        <f t="shared" si="5"/>
        <v>20810.85872</v>
      </c>
      <c r="AM7" s="20">
        <f t="shared" si="5"/>
        <v>21172.422160000002</v>
      </c>
      <c r="AN7" s="20">
        <f t="shared" si="5"/>
        <v>22620.602010000002</v>
      </c>
      <c r="AO7" s="20">
        <f t="shared" si="5"/>
        <v>22623.602010000002</v>
      </c>
      <c r="AP7" s="20">
        <f t="shared" si="5"/>
        <v>22626.602010000002</v>
      </c>
      <c r="AQ7" s="20">
        <f t="shared" si="5"/>
        <v>22620.6</v>
      </c>
      <c r="AR7" s="20">
        <f t="shared" si="5"/>
        <v>22713.200000000001</v>
      </c>
      <c r="AS7" s="20">
        <f t="shared" si="5"/>
        <v>23073.800000000003</v>
      </c>
      <c r="AT7" s="20">
        <f t="shared" si="5"/>
        <v>23125.4</v>
      </c>
      <c r="AU7" s="20">
        <f t="shared" si="5"/>
        <v>24201.000000000004</v>
      </c>
      <c r="AV7" s="20">
        <f t="shared" si="5"/>
        <v>25411.561829999999</v>
      </c>
      <c r="AW7" s="20">
        <f t="shared" si="5"/>
        <v>25288.276830000003</v>
      </c>
      <c r="AX7" s="20">
        <f t="shared" si="5"/>
        <v>24073.902009999998</v>
      </c>
      <c r="AY7" s="20">
        <f t="shared" si="5"/>
        <v>24528.302009999999</v>
      </c>
      <c r="AZ7" s="20">
        <f t="shared" si="5"/>
        <v>24588.302009999999</v>
      </c>
      <c r="BA7" s="20">
        <f t="shared" si="5"/>
        <v>24690.6</v>
      </c>
      <c r="BB7" s="20">
        <f t="shared" si="5"/>
        <v>24690.6</v>
      </c>
      <c r="BC7" s="20">
        <f t="shared" si="5"/>
        <v>26539.199999999997</v>
      </c>
      <c r="BD7" s="20">
        <f t="shared" si="5"/>
        <v>28052.6</v>
      </c>
      <c r="BE7" s="20">
        <f t="shared" si="5"/>
        <v>29556.107889999999</v>
      </c>
      <c r="BF7" s="20">
        <f t="shared" si="5"/>
        <v>29654.370139999999</v>
      </c>
      <c r="BG7" s="20">
        <f t="shared" si="5"/>
        <v>25313.402010000002</v>
      </c>
      <c r="BH7" s="20">
        <f t="shared" si="5"/>
        <v>25667.102009999999</v>
      </c>
      <c r="BI7" s="20">
        <f t="shared" si="5"/>
        <v>25930.702010000001</v>
      </c>
      <c r="BJ7" s="21">
        <f t="shared" si="5"/>
        <v>25313.4</v>
      </c>
      <c r="BK7" s="22">
        <f t="shared" si="5"/>
        <v>25313.4</v>
      </c>
      <c r="BL7" s="20">
        <f t="shared" si="5"/>
        <v>29091.499999999996</v>
      </c>
      <c r="BM7" s="20">
        <f t="shared" ref="BM7:BM70" si="6">BL7-BG7</f>
        <v>3778.0979899999948</v>
      </c>
      <c r="BN7" s="20">
        <f t="shared" ref="BN7:BN70" si="7">BL7/BG7*100</f>
        <v>114.92528735769085</v>
      </c>
      <c r="BO7" s="20">
        <f t="shared" si="5"/>
        <v>30773.00201</v>
      </c>
      <c r="BP7" s="20">
        <f t="shared" si="5"/>
        <v>31555.816070000001</v>
      </c>
      <c r="BQ7" s="20">
        <f t="shared" si="5"/>
        <v>28401.8923</v>
      </c>
      <c r="BR7" s="20">
        <f>BP7/BG7*100</f>
        <v>124.66051010264817</v>
      </c>
      <c r="BS7" s="20">
        <f>BP7/BL7*100</f>
        <v>108.47091442517576</v>
      </c>
      <c r="BT7" s="20">
        <f>BP7/BE7*100</f>
        <v>106.76580349294429</v>
      </c>
    </row>
    <row r="8" spans="1:72" s="23" customFormat="1" ht="13.5" customHeight="1" x14ac:dyDescent="0.25">
      <c r="A8" s="18"/>
      <c r="B8" s="19" t="s">
        <v>80</v>
      </c>
      <c r="C8" s="20">
        <f t="shared" ref="C8:BP8" si="8">C7/C125*100</f>
        <v>24.939177282591523</v>
      </c>
      <c r="D8" s="20">
        <f t="shared" si="8"/>
        <v>29.465501182202473</v>
      </c>
      <c r="E8" s="20">
        <f t="shared" si="8"/>
        <v>20.245352830329971</v>
      </c>
      <c r="F8" s="20">
        <f t="shared" si="8"/>
        <v>20.326166202182382</v>
      </c>
      <c r="G8" s="20">
        <f t="shared" si="8"/>
        <v>32.826531251377389</v>
      </c>
      <c r="H8" s="20">
        <f t="shared" si="8"/>
        <v>26.772332233016282</v>
      </c>
      <c r="I8" s="20">
        <f t="shared" si="8"/>
        <v>25.781995452516153</v>
      </c>
      <c r="J8" s="20">
        <f t="shared" si="8"/>
        <v>31.399397573714317</v>
      </c>
      <c r="K8" s="20">
        <f t="shared" si="8"/>
        <v>26.246141140845904</v>
      </c>
      <c r="L8" s="20">
        <f t="shared" si="8"/>
        <v>25.474646479096819</v>
      </c>
      <c r="M8" s="20">
        <f t="shared" si="8"/>
        <v>8.1822621397524475</v>
      </c>
      <c r="N8" s="20">
        <f t="shared" si="8"/>
        <v>31.136388780387581</v>
      </c>
      <c r="O8" s="20">
        <f t="shared" si="8"/>
        <v>24.274214983392273</v>
      </c>
      <c r="P8" s="20">
        <f t="shared" si="8"/>
        <v>23.410612869551883</v>
      </c>
      <c r="Q8" s="20">
        <f t="shared" si="8"/>
        <v>7.9227147577208186</v>
      </c>
      <c r="R8" s="20">
        <f t="shared" si="8"/>
        <v>24.588343249994537</v>
      </c>
      <c r="S8" s="20">
        <f t="shared" si="8"/>
        <v>24.856066493225669</v>
      </c>
      <c r="T8" s="20">
        <f t="shared" si="8"/>
        <v>24.933728046028687</v>
      </c>
      <c r="U8" s="20">
        <f t="shared" si="8"/>
        <v>11.795901200205297</v>
      </c>
      <c r="V8" s="20">
        <f t="shared" si="8"/>
        <v>38.430788506798685</v>
      </c>
      <c r="W8" s="20">
        <f t="shared" si="8"/>
        <v>24.72350190886285</v>
      </c>
      <c r="X8" s="20">
        <f t="shared" si="8"/>
        <v>24.870448390332978</v>
      </c>
      <c r="Y8" s="20">
        <f t="shared" si="8"/>
        <v>8.7591774172462387</v>
      </c>
      <c r="Z8" s="20">
        <f t="shared" si="8"/>
        <v>38.475276842579817</v>
      </c>
      <c r="AA8" s="20">
        <f t="shared" si="8"/>
        <v>33.504053380711788</v>
      </c>
      <c r="AB8" s="20">
        <f t="shared" si="8"/>
        <v>34.947920567624813</v>
      </c>
      <c r="AC8" s="20">
        <f t="shared" si="8"/>
        <v>8.8962655884820929</v>
      </c>
      <c r="AD8" s="20">
        <f t="shared" si="8"/>
        <v>40.063971360435893</v>
      </c>
      <c r="AE8" s="20">
        <f t="shared" si="8"/>
        <v>34.171750628403856</v>
      </c>
      <c r="AF8" s="20">
        <f t="shared" si="8"/>
        <v>34.638663982725888</v>
      </c>
      <c r="AG8" s="20">
        <f t="shared" si="8"/>
        <v>24.132105243444173</v>
      </c>
      <c r="AH8" s="20">
        <f t="shared" si="8"/>
        <v>37.877090886179793</v>
      </c>
      <c r="AI8" s="20">
        <f t="shared" si="8"/>
        <v>39.622505738029247</v>
      </c>
      <c r="AJ8" s="20">
        <f t="shared" si="8"/>
        <v>39.680291263044445</v>
      </c>
      <c r="AK8" s="20">
        <f t="shared" si="8"/>
        <v>19.926585065888119</v>
      </c>
      <c r="AL8" s="20">
        <f t="shared" si="8"/>
        <v>20.608588231338274</v>
      </c>
      <c r="AM8" s="20">
        <f t="shared" si="8"/>
        <v>7.9034501964687029</v>
      </c>
      <c r="AN8" s="20">
        <f t="shared" si="8"/>
        <v>43.528780062484891</v>
      </c>
      <c r="AO8" s="20">
        <f t="shared" si="8"/>
        <v>43.52952712957979</v>
      </c>
      <c r="AP8" s="20">
        <f t="shared" si="8"/>
        <v>43.53027402420495</v>
      </c>
      <c r="AQ8" s="20">
        <f t="shared" si="8"/>
        <v>33.891890434110337</v>
      </c>
      <c r="AR8" s="20">
        <f t="shared" si="8"/>
        <v>31.989160990834165</v>
      </c>
      <c r="AS8" s="20">
        <f t="shared" si="8"/>
        <v>35.105992900841528</v>
      </c>
      <c r="AT8" s="20">
        <f t="shared" si="8"/>
        <v>33.509050547437852</v>
      </c>
      <c r="AU8" s="20">
        <f t="shared" si="8"/>
        <v>31.737476345410126</v>
      </c>
      <c r="AV8" s="20">
        <f t="shared" si="8"/>
        <v>32.799415545536768</v>
      </c>
      <c r="AW8" s="20">
        <f t="shared" si="8"/>
        <v>23.568074818744684</v>
      </c>
      <c r="AX8" s="20">
        <f t="shared" si="8"/>
        <v>36.317900269451449</v>
      </c>
      <c r="AY8" s="20">
        <f t="shared" si="8"/>
        <v>48.150978481058907</v>
      </c>
      <c r="AZ8" s="20">
        <f t="shared" si="8"/>
        <v>48.2533229979732</v>
      </c>
      <c r="BA8" s="20">
        <f t="shared" si="8"/>
        <v>34.676542710518994</v>
      </c>
      <c r="BB8" s="20">
        <f t="shared" si="8"/>
        <v>31.743946104743475</v>
      </c>
      <c r="BC8" s="20">
        <f t="shared" si="8"/>
        <v>39.48515988698631</v>
      </c>
      <c r="BD8" s="20">
        <f t="shared" si="8"/>
        <v>30.25132694501778</v>
      </c>
      <c r="BE8" s="20">
        <f t="shared" si="8"/>
        <v>31.52535711510669</v>
      </c>
      <c r="BF8" s="20">
        <f t="shared" si="8"/>
        <v>22.460579850255321</v>
      </c>
      <c r="BG8" s="20">
        <f t="shared" si="8"/>
        <v>38.902517378619869</v>
      </c>
      <c r="BH8" s="20">
        <f t="shared" si="8"/>
        <v>44.606165128213462</v>
      </c>
      <c r="BI8" s="20">
        <f t="shared" si="8"/>
        <v>45.045402217965588</v>
      </c>
      <c r="BJ8" s="21">
        <f t="shared" si="8"/>
        <v>37.578494508724582</v>
      </c>
      <c r="BK8" s="22">
        <f t="shared" si="8"/>
        <v>28.922989031078611</v>
      </c>
      <c r="BL8" s="20">
        <f t="shared" si="8"/>
        <v>28.042405565393075</v>
      </c>
      <c r="BM8" s="20"/>
      <c r="BN8" s="20"/>
      <c r="BO8" s="20">
        <f t="shared" si="8"/>
        <v>30.082105684102885</v>
      </c>
      <c r="BP8" s="20">
        <f t="shared" si="8"/>
        <v>29.674200000973084</v>
      </c>
      <c r="BQ8" s="20">
        <f t="shared" ref="BQ8" si="9">BQ7/BQ125*100</f>
        <v>27.767290515082376</v>
      </c>
      <c r="BR8" s="20"/>
      <c r="BS8" s="20"/>
      <c r="BT8" s="20"/>
    </row>
    <row r="9" spans="1:72" ht="15" customHeight="1" x14ac:dyDescent="0.25">
      <c r="A9" s="18" t="s">
        <v>81</v>
      </c>
      <c r="B9" s="19" t="s">
        <v>82</v>
      </c>
      <c r="C9" s="20">
        <f>C10+C12+C11</f>
        <v>11474.610049999999</v>
      </c>
      <c r="D9" s="20">
        <f>D10+D12+D11</f>
        <v>10703</v>
      </c>
      <c r="E9" s="20">
        <f>E10+E12+E11+E14</f>
        <v>12408.699999999999</v>
      </c>
      <c r="F9" s="20">
        <f t="shared" ref="F9:AP9" si="10">F10+F12+F11</f>
        <v>11923.26987</v>
      </c>
      <c r="G9" s="20">
        <f t="shared" si="10"/>
        <v>13398.5</v>
      </c>
      <c r="H9" s="20">
        <f t="shared" si="10"/>
        <v>13312.2</v>
      </c>
      <c r="I9" s="20">
        <f t="shared" si="10"/>
        <v>12556.57315</v>
      </c>
      <c r="J9" s="20">
        <f t="shared" si="10"/>
        <v>13125</v>
      </c>
      <c r="K9" s="20">
        <f t="shared" si="10"/>
        <v>12653.5</v>
      </c>
      <c r="L9" s="20">
        <f t="shared" si="10"/>
        <v>12123.741840000001</v>
      </c>
      <c r="M9" s="20">
        <f t="shared" si="10"/>
        <v>12123.741840000001</v>
      </c>
      <c r="N9" s="20">
        <f t="shared" si="10"/>
        <v>12839.7</v>
      </c>
      <c r="O9" s="20">
        <f t="shared" si="10"/>
        <v>12839.7</v>
      </c>
      <c r="P9" s="20">
        <f t="shared" si="10"/>
        <v>12038.29413</v>
      </c>
      <c r="Q9" s="20">
        <f t="shared" si="10"/>
        <v>12038.29413</v>
      </c>
      <c r="R9" s="20">
        <f t="shared" si="10"/>
        <v>12800</v>
      </c>
      <c r="S9" s="20">
        <f t="shared" si="10"/>
        <v>13315.900000000001</v>
      </c>
      <c r="T9" s="20">
        <f t="shared" si="10"/>
        <v>13374.017660000001</v>
      </c>
      <c r="U9" s="20">
        <f t="shared" si="10"/>
        <v>13374.01766</v>
      </c>
      <c r="V9" s="20">
        <f t="shared" si="10"/>
        <v>13150.00201</v>
      </c>
      <c r="W9" s="20">
        <f t="shared" si="10"/>
        <v>13059.1</v>
      </c>
      <c r="X9" s="20">
        <f t="shared" si="10"/>
        <v>13253.167410000002</v>
      </c>
      <c r="Y9" s="20">
        <f t="shared" si="10"/>
        <v>13253.167410000002</v>
      </c>
      <c r="Z9" s="20">
        <f t="shared" si="10"/>
        <v>13000.00201</v>
      </c>
      <c r="AA9" s="20">
        <f t="shared" si="10"/>
        <v>13360.1</v>
      </c>
      <c r="AB9" s="20">
        <f t="shared" si="10"/>
        <v>13867.235409999998</v>
      </c>
      <c r="AC9" s="20">
        <f t="shared" si="10"/>
        <v>13867.235409999998</v>
      </c>
      <c r="AD9" s="20">
        <f t="shared" si="10"/>
        <v>13450.00201</v>
      </c>
      <c r="AE9" s="20">
        <f t="shared" si="10"/>
        <v>13650</v>
      </c>
      <c r="AF9" s="20">
        <f t="shared" si="10"/>
        <v>13920.333840000001</v>
      </c>
      <c r="AG9" s="20">
        <f t="shared" si="10"/>
        <v>13920.333840000001</v>
      </c>
      <c r="AH9" s="20">
        <f t="shared" si="10"/>
        <v>13460.00201</v>
      </c>
      <c r="AI9" s="20">
        <f t="shared" si="10"/>
        <v>13480.00201</v>
      </c>
      <c r="AJ9" s="20">
        <f t="shared" si="10"/>
        <v>13500.00201</v>
      </c>
      <c r="AK9" s="20">
        <f t="shared" si="10"/>
        <v>14045</v>
      </c>
      <c r="AL9" s="20">
        <f t="shared" si="10"/>
        <v>14728.04859</v>
      </c>
      <c r="AM9" s="20">
        <f t="shared" si="10"/>
        <v>14728.04859</v>
      </c>
      <c r="AN9" s="20">
        <f t="shared" si="10"/>
        <v>14100.00201</v>
      </c>
      <c r="AO9" s="20">
        <f t="shared" si="10"/>
        <v>14100.00201</v>
      </c>
      <c r="AP9" s="20">
        <f t="shared" si="10"/>
        <v>14100.00201</v>
      </c>
      <c r="AQ9" s="20">
        <v>14100</v>
      </c>
      <c r="AR9" s="20">
        <v>14113.2</v>
      </c>
      <c r="AS9" s="20">
        <v>14464.2</v>
      </c>
      <c r="AT9" s="20">
        <f>AT10+AT12+AT11+AT13</f>
        <v>14521.800000000001</v>
      </c>
      <c r="AU9" s="20">
        <f>AU10+AU12+AU11+AU13</f>
        <v>14868.1</v>
      </c>
      <c r="AV9" s="20">
        <f>AV10+AV12+AV11+AV13</f>
        <v>15332.99559</v>
      </c>
      <c r="AW9" s="20">
        <f>AW10+AW12+AW11+AW13</f>
        <v>15332.99559</v>
      </c>
      <c r="AX9" s="20">
        <f t="shared" ref="AX9" si="11">AX10+AX12+AX11</f>
        <v>14820.00201</v>
      </c>
      <c r="AY9" s="20">
        <f>AY10+AY12+AY11</f>
        <v>14850.00201</v>
      </c>
      <c r="AZ9" s="20">
        <f>AZ10+AZ12+AZ11</f>
        <v>14900.00201</v>
      </c>
      <c r="BA9" s="20">
        <v>14820</v>
      </c>
      <c r="BB9" s="20">
        <v>14820</v>
      </c>
      <c r="BC9" s="20">
        <f>BC10+BC12+BC11+BC13</f>
        <v>16097</v>
      </c>
      <c r="BD9" s="20">
        <f>BD10+BD12+BD11+BD13</f>
        <v>16764.400000000001</v>
      </c>
      <c r="BE9" s="20">
        <f>BE10+BE12+BE11+BE13</f>
        <v>17298.138800000001</v>
      </c>
      <c r="BF9" s="20">
        <f>BF10+BF12+BF11+BF13</f>
        <v>17298.138800000001</v>
      </c>
      <c r="BG9" s="20">
        <f t="shared" ref="BG9" si="12">BG10+BG12+BG11</f>
        <v>15500.00201</v>
      </c>
      <c r="BH9" s="20">
        <f>BH10+BH12+BH11</f>
        <v>15700.00201</v>
      </c>
      <c r="BI9" s="20">
        <f>BI10+BI12+BI11</f>
        <v>15950.00201</v>
      </c>
      <c r="BJ9" s="20">
        <f t="shared" ref="BJ9:BK9" si="13">BJ10+BJ12+BJ11</f>
        <v>15500</v>
      </c>
      <c r="BK9" s="20">
        <f t="shared" si="13"/>
        <v>15500</v>
      </c>
      <c r="BL9" s="20">
        <f>SUM(BL10:BL14)</f>
        <v>17986.699999999997</v>
      </c>
      <c r="BM9" s="20">
        <f t="shared" si="6"/>
        <v>2486.6979899999969</v>
      </c>
      <c r="BN9" s="20">
        <f t="shared" si="7"/>
        <v>116.04321075826749</v>
      </c>
      <c r="BO9" s="20">
        <f t="shared" ref="BO9" si="14">BO10+BO12+BO11</f>
        <v>18300.00201</v>
      </c>
      <c r="BP9" s="20">
        <f>BP10+BP12+BP11+BP13+BP14</f>
        <v>18786.15323</v>
      </c>
      <c r="BQ9" s="20">
        <f>BQ10+BQ12+BQ11+BQ13+BQ14</f>
        <v>18786.15323</v>
      </c>
      <c r="BR9" s="20">
        <f t="shared" ref="BR9:BR15" si="15">BP9/BG9*100</f>
        <v>121.20097286361577</v>
      </c>
      <c r="BS9" s="20">
        <f t="shared" ref="BS9:BS15" si="16">BP9/BL9*100</f>
        <v>104.44469096610274</v>
      </c>
      <c r="BT9" s="20">
        <f t="shared" ref="BT9:BT15" si="17">BP9/BE9*100</f>
        <v>108.60216493348985</v>
      </c>
    </row>
    <row r="10" spans="1:72" ht="27" hidden="1" customHeight="1" x14ac:dyDescent="0.25">
      <c r="A10" s="10" t="s">
        <v>83</v>
      </c>
      <c r="B10" s="24" t="s">
        <v>84</v>
      </c>
      <c r="C10" s="25">
        <v>11466.40632</v>
      </c>
      <c r="D10" s="25">
        <v>10700</v>
      </c>
      <c r="E10" s="25">
        <v>12393.98</v>
      </c>
      <c r="F10" s="25">
        <f>11899.99106+8.61373</f>
        <v>11908.604789999999</v>
      </c>
      <c r="G10" s="25">
        <v>13384.5</v>
      </c>
      <c r="H10" s="25">
        <v>13292.2</v>
      </c>
      <c r="I10" s="25">
        <f>-11.67359+12551.0284+0.1578+0.02</f>
        <v>12539.53261</v>
      </c>
      <c r="J10" s="25">
        <v>13125</v>
      </c>
      <c r="K10" s="25">
        <v>12632</v>
      </c>
      <c r="L10" s="25">
        <f>0.12/1000+12100.91792+0.64989+0.3</f>
        <v>12101.86793</v>
      </c>
      <c r="M10" s="25">
        <f>0.12/1000+12100.91792+0.64989+0.3</f>
        <v>12101.86793</v>
      </c>
      <c r="N10" s="25">
        <v>12839.7</v>
      </c>
      <c r="O10" s="25">
        <v>12839.7</v>
      </c>
      <c r="P10" s="25">
        <f>12036.89513+11.4/1000+3/1000</f>
        <v>12036.909530000001</v>
      </c>
      <c r="Q10" s="25">
        <f>12036.89513+11.4/1000+3/1000</f>
        <v>12036.909530000001</v>
      </c>
      <c r="R10" s="25">
        <v>12800</v>
      </c>
      <c r="S10" s="25">
        <v>13313.7</v>
      </c>
      <c r="T10" s="25">
        <f>13375.09381+3.24537+0.2+0.025</f>
        <v>13378.564180000001</v>
      </c>
      <c r="U10" s="25">
        <v>13371.83246</v>
      </c>
      <c r="V10" s="25">
        <v>13150</v>
      </c>
      <c r="W10" s="25">
        <v>13050</v>
      </c>
      <c r="X10" s="25">
        <v>13242.48407</v>
      </c>
      <c r="Y10" s="25">
        <v>13242.48407</v>
      </c>
      <c r="Z10" s="25">
        <v>13000</v>
      </c>
      <c r="AA10" s="25">
        <v>13360.1</v>
      </c>
      <c r="AB10" s="25">
        <f>13855.49225+1.27635+1.29344</f>
        <v>13858.062039999999</v>
      </c>
      <c r="AC10" s="25">
        <f>13855.49225+1.27635+1.29344</f>
        <v>13858.062039999999</v>
      </c>
      <c r="AD10" s="25">
        <v>13450</v>
      </c>
      <c r="AE10" s="25">
        <v>13450</v>
      </c>
      <c r="AF10" s="25">
        <v>13718.92712</v>
      </c>
      <c r="AG10" s="25">
        <v>13718.92712</v>
      </c>
      <c r="AH10" s="25">
        <v>13460</v>
      </c>
      <c r="AI10" s="25">
        <v>13480</v>
      </c>
      <c r="AJ10" s="25">
        <v>13500</v>
      </c>
      <c r="AK10" s="25">
        <v>14045</v>
      </c>
      <c r="AL10" s="25">
        <v>14735.07633</v>
      </c>
      <c r="AM10" s="25">
        <v>14735.07633</v>
      </c>
      <c r="AN10" s="25">
        <v>14100</v>
      </c>
      <c r="AO10" s="25">
        <v>14100</v>
      </c>
      <c r="AP10" s="25">
        <v>14100</v>
      </c>
      <c r="AQ10" s="25"/>
      <c r="AR10" s="25"/>
      <c r="AS10" s="25"/>
      <c r="AT10" s="25">
        <v>14441.6</v>
      </c>
      <c r="AU10" s="25">
        <v>14747.9</v>
      </c>
      <c r="AV10" s="25">
        <f>15207.88823+2.72864</f>
        <v>15210.61687</v>
      </c>
      <c r="AW10" s="25">
        <f>15210.61687</f>
        <v>15210.61687</v>
      </c>
      <c r="AX10" s="25">
        <v>14820</v>
      </c>
      <c r="AY10" s="25">
        <v>14850</v>
      </c>
      <c r="AZ10" s="25">
        <v>14900</v>
      </c>
      <c r="BA10" s="25"/>
      <c r="BB10" s="25"/>
      <c r="BC10" s="26">
        <v>16020</v>
      </c>
      <c r="BD10" s="25">
        <v>16620</v>
      </c>
      <c r="BE10" s="25">
        <v>17128.97207</v>
      </c>
      <c r="BF10" s="25">
        <v>17128.97207</v>
      </c>
      <c r="BG10" s="25">
        <v>15500</v>
      </c>
      <c r="BH10" s="25">
        <v>15700</v>
      </c>
      <c r="BI10" s="25">
        <v>15950</v>
      </c>
      <c r="BJ10" s="20">
        <v>15500</v>
      </c>
      <c r="BK10" s="27">
        <v>15500</v>
      </c>
      <c r="BL10" s="25">
        <v>17833</v>
      </c>
      <c r="BM10" s="20">
        <f t="shared" si="6"/>
        <v>2333</v>
      </c>
      <c r="BN10" s="20">
        <f t="shared" si="7"/>
        <v>115.0516129032258</v>
      </c>
      <c r="BO10" s="25">
        <v>18300</v>
      </c>
      <c r="BP10" s="25">
        <v>18540.49034</v>
      </c>
      <c r="BQ10" s="25">
        <v>18540.49034</v>
      </c>
      <c r="BR10" s="25">
        <f t="shared" si="15"/>
        <v>119.61606670967741</v>
      </c>
      <c r="BS10" s="25">
        <f t="shared" si="16"/>
        <v>103.9673097067235</v>
      </c>
      <c r="BT10" s="25">
        <f t="shared" si="17"/>
        <v>108.24053109685525</v>
      </c>
    </row>
    <row r="11" spans="1:72" ht="27" hidden="1" customHeight="1" x14ac:dyDescent="0.25">
      <c r="A11" s="10" t="s">
        <v>85</v>
      </c>
      <c r="B11" s="28" t="s">
        <v>86</v>
      </c>
      <c r="C11" s="25">
        <v>5.1579300000000003</v>
      </c>
      <c r="D11" s="25"/>
      <c r="E11" s="25">
        <v>2.42</v>
      </c>
      <c r="F11" s="25">
        <f>2.2518+0.06818+0.1</f>
        <v>2.4199799999999998</v>
      </c>
      <c r="G11" s="25">
        <v>2</v>
      </c>
      <c r="H11" s="25">
        <v>8</v>
      </c>
      <c r="I11" s="25">
        <f>5.284+0.05502+0.1</f>
        <v>5.4390199999999993</v>
      </c>
      <c r="J11" s="25">
        <v>0</v>
      </c>
      <c r="K11" s="25">
        <v>17</v>
      </c>
      <c r="L11" s="25">
        <f>12.9505+2.55428+1.88108</f>
        <v>17.385860000000001</v>
      </c>
      <c r="M11" s="25">
        <f>12.9505+2.55428+1.88108</f>
        <v>17.385860000000001</v>
      </c>
      <c r="N11" s="25">
        <v>0</v>
      </c>
      <c r="O11" s="25">
        <v>0</v>
      </c>
      <c r="P11" s="25">
        <f>-0.4144-1.77/1000</f>
        <v>-0.41616999999999998</v>
      </c>
      <c r="Q11" s="25">
        <f>-0.4144-1.77/1000</f>
        <v>-0.41616999999999998</v>
      </c>
      <c r="R11" s="25">
        <v>0</v>
      </c>
      <c r="S11" s="25">
        <v>0</v>
      </c>
      <c r="T11" s="25">
        <f>-7.0487+16.98/1000+0.3</f>
        <v>-6.7317200000000001</v>
      </c>
      <c r="U11" s="25">
        <v>0</v>
      </c>
      <c r="V11" s="25">
        <v>0</v>
      </c>
      <c r="W11" s="25">
        <v>0</v>
      </c>
      <c r="X11" s="25">
        <v>1.34372</v>
      </c>
      <c r="Y11" s="25">
        <v>1.34372</v>
      </c>
      <c r="Z11" s="25">
        <v>0</v>
      </c>
      <c r="AA11" s="25">
        <v>0</v>
      </c>
      <c r="AB11" s="25">
        <f>6.30413+0.05456+0.62501-0.00203</f>
        <v>6.9816699999999994</v>
      </c>
      <c r="AC11" s="25">
        <f>6.30413+0.05456+0.62501-0.00203</f>
        <v>6.9816699999999994</v>
      </c>
      <c r="AD11" s="25">
        <v>0</v>
      </c>
      <c r="AE11" s="25">
        <v>195</v>
      </c>
      <c r="AF11" s="25">
        <v>195.68056000000001</v>
      </c>
      <c r="AG11" s="25">
        <v>195.68056000000001</v>
      </c>
      <c r="AH11" s="25">
        <v>0</v>
      </c>
      <c r="AI11" s="25">
        <v>0</v>
      </c>
      <c r="AJ11" s="25">
        <v>0</v>
      </c>
      <c r="AK11" s="25">
        <v>0</v>
      </c>
      <c r="AL11" s="25">
        <f>0.0195+1.68526-10.61183</f>
        <v>-8.9070699999999992</v>
      </c>
      <c r="AM11" s="25">
        <f>0.0195+1.68526-10.61183</f>
        <v>-8.9070699999999992</v>
      </c>
      <c r="AN11" s="25">
        <v>0</v>
      </c>
      <c r="AO11" s="25">
        <v>0</v>
      </c>
      <c r="AP11" s="25">
        <v>0</v>
      </c>
      <c r="AQ11" s="25"/>
      <c r="AR11" s="25"/>
      <c r="AS11" s="25"/>
      <c r="AT11" s="25">
        <v>13.2</v>
      </c>
      <c r="AU11" s="25">
        <v>13.2</v>
      </c>
      <c r="AV11" s="25">
        <f>8.67901+3.3816+1.76515</f>
        <v>13.825760000000001</v>
      </c>
      <c r="AW11" s="25">
        <v>13.825760000000001</v>
      </c>
      <c r="AX11" s="25">
        <v>0</v>
      </c>
      <c r="AY11" s="25">
        <v>0</v>
      </c>
      <c r="AZ11" s="25">
        <v>0</v>
      </c>
      <c r="BA11" s="25"/>
      <c r="BB11" s="25"/>
      <c r="BC11" s="26">
        <v>0</v>
      </c>
      <c r="BD11" s="25">
        <v>0</v>
      </c>
      <c r="BE11" s="25">
        <v>0.13661999999999999</v>
      </c>
      <c r="BF11" s="25">
        <v>0.13661999999999999</v>
      </c>
      <c r="BG11" s="25">
        <v>0</v>
      </c>
      <c r="BH11" s="25">
        <v>0</v>
      </c>
      <c r="BI11" s="25">
        <v>0</v>
      </c>
      <c r="BJ11" s="20"/>
      <c r="BK11" s="27"/>
      <c r="BL11" s="25">
        <v>1</v>
      </c>
      <c r="BM11" s="20">
        <f t="shared" si="6"/>
        <v>1</v>
      </c>
      <c r="BN11" s="20" t="e">
        <f t="shared" si="7"/>
        <v>#DIV/0!</v>
      </c>
      <c r="BO11" s="25">
        <v>0</v>
      </c>
      <c r="BP11" s="25">
        <v>1.08005</v>
      </c>
      <c r="BQ11" s="25">
        <v>1.08005</v>
      </c>
      <c r="BR11" s="25" t="e">
        <f t="shared" si="15"/>
        <v>#DIV/0!</v>
      </c>
      <c r="BS11" s="25">
        <f t="shared" si="16"/>
        <v>108.005</v>
      </c>
      <c r="BT11" s="25">
        <f t="shared" si="17"/>
        <v>790.55043185477962</v>
      </c>
    </row>
    <row r="12" spans="1:72" ht="27" hidden="1" customHeight="1" x14ac:dyDescent="0.25">
      <c r="A12" s="10" t="s">
        <v>87</v>
      </c>
      <c r="B12" s="24" t="s">
        <v>88</v>
      </c>
      <c r="C12" s="25">
        <v>3.0457999999999998</v>
      </c>
      <c r="D12" s="25">
        <v>3</v>
      </c>
      <c r="E12" s="25">
        <v>12.3</v>
      </c>
      <c r="F12" s="25">
        <v>12.245100000000001</v>
      </c>
      <c r="G12" s="25">
        <v>12</v>
      </c>
      <c r="H12" s="25">
        <v>12</v>
      </c>
      <c r="I12" s="25">
        <f>11.6013+0.00022</f>
        <v>11.601520000000001</v>
      </c>
      <c r="J12" s="25">
        <v>0</v>
      </c>
      <c r="K12" s="25">
        <v>4.5</v>
      </c>
      <c r="L12" s="25">
        <f>-0.12/1000+3.7493+38.87/1000+0.7</f>
        <v>4.4880500000000003</v>
      </c>
      <c r="M12" s="25">
        <f>-0.12/1000+3.7493+38.87/1000+0.7</f>
        <v>4.4880500000000003</v>
      </c>
      <c r="N12" s="25">
        <v>0</v>
      </c>
      <c r="O12" s="25">
        <v>0</v>
      </c>
      <c r="P12" s="25">
        <f>0.1/1000+0.9427+32.97/1000+0.825</f>
        <v>1.80077</v>
      </c>
      <c r="Q12" s="25">
        <f>0.1/1000+0.9427+32.97/1000+0.825</f>
        <v>1.80077</v>
      </c>
      <c r="R12" s="25">
        <v>0</v>
      </c>
      <c r="S12" s="25">
        <v>2.2000000000000002</v>
      </c>
      <c r="T12" s="25">
        <f>1.8719+13.3/1000+0.3</f>
        <v>2.1852</v>
      </c>
      <c r="U12" s="25">
        <v>2.1852</v>
      </c>
      <c r="V12" s="25">
        <v>2.0100000000000001E-3</v>
      </c>
      <c r="W12" s="25">
        <v>9.1</v>
      </c>
      <c r="X12" s="25">
        <v>9.33962</v>
      </c>
      <c r="Y12" s="25">
        <v>9.33962</v>
      </c>
      <c r="Z12" s="25">
        <v>2.0100000000000001E-3</v>
      </c>
      <c r="AA12" s="25">
        <v>0</v>
      </c>
      <c r="AB12" s="25">
        <f>1.6486+0.0181+0.525</f>
        <v>2.1917</v>
      </c>
      <c r="AC12" s="25">
        <f>1.6486+0.0181+0.525</f>
        <v>2.1917</v>
      </c>
      <c r="AD12" s="25">
        <v>2.0100000000000001E-3</v>
      </c>
      <c r="AE12" s="25">
        <v>5</v>
      </c>
      <c r="AF12" s="25">
        <v>5.7261600000000001</v>
      </c>
      <c r="AG12" s="25">
        <v>5.7261600000000001</v>
      </c>
      <c r="AH12" s="25">
        <v>2.0100000000000001E-3</v>
      </c>
      <c r="AI12" s="25">
        <v>2.0100000000000001E-3</v>
      </c>
      <c r="AJ12" s="25">
        <v>2.0100000000000001E-3</v>
      </c>
      <c r="AK12" s="25">
        <v>0</v>
      </c>
      <c r="AL12" s="25">
        <f>1.87933</f>
        <v>1.8793299999999999</v>
      </c>
      <c r="AM12" s="25">
        <f>1.87933</f>
        <v>1.8793299999999999</v>
      </c>
      <c r="AN12" s="25">
        <v>2.0100000000000001E-3</v>
      </c>
      <c r="AO12" s="25">
        <v>2.0100000000000001E-3</v>
      </c>
      <c r="AP12" s="25">
        <v>2.0100000000000001E-3</v>
      </c>
      <c r="AQ12" s="25"/>
      <c r="AR12" s="25"/>
      <c r="AS12" s="25"/>
      <c r="AT12" s="25">
        <v>41</v>
      </c>
      <c r="AU12" s="25">
        <v>68</v>
      </c>
      <c r="AV12" s="25">
        <f>67.78149+0.96078</f>
        <v>68.742270000000005</v>
      </c>
      <c r="AW12" s="25">
        <v>68.742270000000005</v>
      </c>
      <c r="AX12" s="25">
        <v>2.0100000000000001E-3</v>
      </c>
      <c r="AY12" s="25">
        <v>2.0100000000000001E-3</v>
      </c>
      <c r="AZ12" s="25">
        <v>2.0100000000000001E-3</v>
      </c>
      <c r="BA12" s="25"/>
      <c r="BB12" s="25"/>
      <c r="BC12" s="26">
        <v>26.6</v>
      </c>
      <c r="BD12" s="25">
        <v>33.4</v>
      </c>
      <c r="BE12" s="25">
        <v>33.429000000000002</v>
      </c>
      <c r="BF12" s="25">
        <v>33.429000000000002</v>
      </c>
      <c r="BG12" s="25">
        <v>2.0100000000000001E-3</v>
      </c>
      <c r="BH12" s="25">
        <v>2.0100000000000001E-3</v>
      </c>
      <c r="BI12" s="25">
        <v>2.0100000000000001E-3</v>
      </c>
      <c r="BJ12" s="20"/>
      <c r="BK12" s="27"/>
      <c r="BL12" s="25">
        <v>19.5</v>
      </c>
      <c r="BM12" s="20">
        <f t="shared" si="6"/>
        <v>19.497990000000001</v>
      </c>
      <c r="BN12" s="20">
        <f t="shared" si="7"/>
        <v>970149.2537313432</v>
      </c>
      <c r="BO12" s="25">
        <v>2.0100000000000001E-3</v>
      </c>
      <c r="BP12" s="25">
        <v>20.931290000000001</v>
      </c>
      <c r="BQ12" s="25">
        <v>20.931290000000001</v>
      </c>
      <c r="BR12" s="25">
        <f t="shared" si="15"/>
        <v>1041357.711442786</v>
      </c>
      <c r="BS12" s="25">
        <f t="shared" si="16"/>
        <v>107.33994871794872</v>
      </c>
      <c r="BT12" s="25">
        <f t="shared" si="17"/>
        <v>62.614167339734962</v>
      </c>
    </row>
    <row r="13" spans="1:72" ht="27" hidden="1" customHeight="1" x14ac:dyDescent="0.25">
      <c r="A13" s="10" t="s">
        <v>89</v>
      </c>
      <c r="B13" s="28" t="s">
        <v>90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>
        <v>26</v>
      </c>
      <c r="AU13" s="25">
        <v>39</v>
      </c>
      <c r="AV13" s="25">
        <v>39.810690000000001</v>
      </c>
      <c r="AW13" s="25">
        <v>39.810690000000001</v>
      </c>
      <c r="AX13" s="25"/>
      <c r="AY13" s="25"/>
      <c r="AZ13" s="25"/>
      <c r="BA13" s="25"/>
      <c r="BB13" s="25"/>
      <c r="BC13" s="26">
        <v>50.4</v>
      </c>
      <c r="BD13" s="25">
        <v>111</v>
      </c>
      <c r="BE13" s="25">
        <v>135.60111000000001</v>
      </c>
      <c r="BF13" s="25">
        <v>135.60111000000001</v>
      </c>
      <c r="BG13" s="25"/>
      <c r="BH13" s="25"/>
      <c r="BI13" s="25"/>
      <c r="BJ13" s="20"/>
      <c r="BK13" s="27"/>
      <c r="BL13" s="25">
        <v>131.6</v>
      </c>
      <c r="BM13" s="20">
        <f t="shared" si="6"/>
        <v>131.6</v>
      </c>
      <c r="BN13" s="20" t="e">
        <f t="shared" si="7"/>
        <v>#DIV/0!</v>
      </c>
      <c r="BO13" s="25"/>
      <c r="BP13" s="25">
        <v>220.45266000000001</v>
      </c>
      <c r="BQ13" s="25">
        <v>220.45266000000001</v>
      </c>
      <c r="BR13" s="25" t="e">
        <f t="shared" si="15"/>
        <v>#DIV/0!</v>
      </c>
      <c r="BS13" s="25">
        <f t="shared" si="16"/>
        <v>167.5172188449848</v>
      </c>
      <c r="BT13" s="25">
        <f t="shared" si="17"/>
        <v>162.57437715664719</v>
      </c>
    </row>
    <row r="14" spans="1:72" ht="27" hidden="1" customHeight="1" x14ac:dyDescent="0.25">
      <c r="A14" s="29" t="s">
        <v>91</v>
      </c>
      <c r="B14" s="30" t="s">
        <v>92</v>
      </c>
      <c r="C14" s="25"/>
      <c r="D14" s="25">
        <v>0</v>
      </c>
      <c r="E14" s="25">
        <v>0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6"/>
      <c r="BD14" s="25"/>
      <c r="BE14" s="25"/>
      <c r="BF14" s="25"/>
      <c r="BG14" s="25"/>
      <c r="BH14" s="25"/>
      <c r="BI14" s="25"/>
      <c r="BJ14" s="20"/>
      <c r="BK14" s="27"/>
      <c r="BL14" s="25">
        <v>1.6</v>
      </c>
      <c r="BM14" s="20">
        <f t="shared" si="6"/>
        <v>1.6</v>
      </c>
      <c r="BN14" s="20" t="e">
        <f t="shared" si="7"/>
        <v>#DIV/0!</v>
      </c>
      <c r="BO14" s="25"/>
      <c r="BP14" s="25">
        <f>3.1988+0.09/1000</f>
        <v>3.19889</v>
      </c>
      <c r="BQ14" s="25">
        <f>3.1988+0.09/1000</f>
        <v>3.19889</v>
      </c>
      <c r="BR14" s="25" t="e">
        <f t="shared" si="15"/>
        <v>#DIV/0!</v>
      </c>
      <c r="BS14" s="25">
        <f t="shared" si="16"/>
        <v>199.93062499999999</v>
      </c>
      <c r="BT14" s="25" t="e">
        <f t="shared" si="17"/>
        <v>#DIV/0!</v>
      </c>
    </row>
    <row r="15" spans="1:72" ht="25.5" customHeight="1" x14ac:dyDescent="0.25">
      <c r="A15" s="31" t="s">
        <v>93</v>
      </c>
      <c r="B15" s="32" t="s">
        <v>94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0">
        <f>V16+V17+V18</f>
        <v>4215</v>
      </c>
      <c r="W15" s="20">
        <f>W16+W17+W18</f>
        <v>3480.9</v>
      </c>
      <c r="X15" s="20">
        <f>X16+X17+X18+X19</f>
        <v>3396.5520000000001</v>
      </c>
      <c r="Y15" s="20">
        <f>Y16+Y17+Y18+Y19</f>
        <v>3396.5520000000001</v>
      </c>
      <c r="Z15" s="20">
        <f>Z16+Z17+Z18</f>
        <v>3943.7</v>
      </c>
      <c r="AA15" s="20">
        <f>AA16+AA17+AA18</f>
        <v>3943.7</v>
      </c>
      <c r="AB15" s="20">
        <f>AB16+AB17+AB18+AB19</f>
        <v>4622.7254899999998</v>
      </c>
      <c r="AC15" s="20">
        <f>AC16+AC17+AC18+AC19</f>
        <v>4622.7254899999998</v>
      </c>
      <c r="AD15" s="20">
        <f>AD16+AD17+AD18</f>
        <v>4776.3</v>
      </c>
      <c r="AE15" s="20">
        <f>AE16+AE17+AE18</f>
        <v>5176.3</v>
      </c>
      <c r="AF15" s="20">
        <f>AF16+AF17+AF18+AF19</f>
        <v>5269.6480899999997</v>
      </c>
      <c r="AG15" s="20">
        <f>AG16+AG17+AG18+AG19</f>
        <v>5269.6480899999997</v>
      </c>
      <c r="AH15" s="20">
        <f>AH16+AH17+AH18</f>
        <v>4923.1000000000004</v>
      </c>
      <c r="AI15" s="20">
        <f>AI16+AI17+AI18</f>
        <v>5479.5</v>
      </c>
      <c r="AJ15" s="20">
        <f>AJ16+AJ17+AJ18</f>
        <v>5479.5</v>
      </c>
      <c r="AK15" s="20">
        <f>AK16+AK17+AK18</f>
        <v>4853.1000000000004</v>
      </c>
      <c r="AL15" s="20">
        <f>AL16+AL17+AL18+AL19</f>
        <v>4839.3697499999998</v>
      </c>
      <c r="AM15" s="20">
        <f>AM16+AM17+AM18+AM19</f>
        <v>4839.3697499999998</v>
      </c>
      <c r="AN15" s="20">
        <f>AN16+AN17+AN18</f>
        <v>6790.4000000000005</v>
      </c>
      <c r="AO15" s="20">
        <f>AO16+AO17+AO18</f>
        <v>6790.4000000000005</v>
      </c>
      <c r="AP15" s="20">
        <f>AP16+AP17+AP18</f>
        <v>6790.4000000000005</v>
      </c>
      <c r="AQ15" s="20">
        <v>6790.4</v>
      </c>
      <c r="AR15" s="20">
        <v>6790.4</v>
      </c>
      <c r="AS15" s="20">
        <v>6790.4</v>
      </c>
      <c r="AT15" s="20">
        <f>AT16+AT17+AT18+AT19</f>
        <v>6790.4000000000005</v>
      </c>
      <c r="AU15" s="20">
        <f>AU16+AU17+AU18+AU19</f>
        <v>7040.4000000000005</v>
      </c>
      <c r="AV15" s="20">
        <f>AV16+AV17+AV18+AV19</f>
        <v>7729.1224999999995</v>
      </c>
      <c r="AW15" s="20">
        <f>AW16+AW17+AW18+AW19</f>
        <v>7729.1224999999995</v>
      </c>
      <c r="AX15" s="20">
        <f>AX16+AX17+AX18</f>
        <v>7486.8</v>
      </c>
      <c r="AY15" s="20">
        <f>AY16+AY17+AY18</f>
        <v>7896.2</v>
      </c>
      <c r="AZ15" s="20">
        <f>AZ16+AZ17+AZ18</f>
        <v>7896.2</v>
      </c>
      <c r="BA15" s="20">
        <v>8103.5</v>
      </c>
      <c r="BB15" s="20">
        <v>8103.5</v>
      </c>
      <c r="BC15" s="27">
        <f t="shared" ref="BC15:BD15" si="18">BC16+BC17+BC18</f>
        <v>8603.5</v>
      </c>
      <c r="BD15" s="20">
        <f t="shared" si="18"/>
        <v>8603.5</v>
      </c>
      <c r="BE15" s="20">
        <f>BE16+BE17+BE18+BE19</f>
        <v>9350.9953000000005</v>
      </c>
      <c r="BF15" s="20">
        <f>BF16+BF17+BF18+BF19</f>
        <v>9350.9953000000005</v>
      </c>
      <c r="BG15" s="20">
        <f>BG16+BG17+BG18</f>
        <v>7987.7000000000007</v>
      </c>
      <c r="BH15" s="20">
        <f>BH16+BH17+BH18</f>
        <v>8114</v>
      </c>
      <c r="BI15" s="20">
        <f>BI16+BI17+BI18</f>
        <v>8114</v>
      </c>
      <c r="BJ15" s="20">
        <f t="shared" ref="BJ15:BL15" si="19">BJ16+BJ17+BJ18</f>
        <v>7987.7000000000007</v>
      </c>
      <c r="BK15" s="20">
        <f t="shared" si="19"/>
        <v>7987.7000000000007</v>
      </c>
      <c r="BL15" s="20">
        <f t="shared" si="19"/>
        <v>8547.2999999999993</v>
      </c>
      <c r="BM15" s="20">
        <f t="shared" si="6"/>
        <v>559.59999999999854</v>
      </c>
      <c r="BN15" s="20">
        <f t="shared" si="7"/>
        <v>107.00577137348672</v>
      </c>
      <c r="BO15" s="20">
        <v>9628.7000000000007</v>
      </c>
      <c r="BP15" s="20">
        <f>BP16+BP17+BP18+BP19</f>
        <v>9913.1273799999999</v>
      </c>
      <c r="BQ15" s="20">
        <f>BQ16+BQ17+BQ18+BQ19</f>
        <v>9350.9953000000005</v>
      </c>
      <c r="BR15" s="20">
        <f t="shared" si="15"/>
        <v>124.1049035391915</v>
      </c>
      <c r="BS15" s="20">
        <f t="shared" si="16"/>
        <v>115.97963544043148</v>
      </c>
      <c r="BT15" s="20">
        <f t="shared" si="17"/>
        <v>106.0114678915516</v>
      </c>
    </row>
    <row r="16" spans="1:72" ht="22.5" hidden="1" customHeight="1" x14ac:dyDescent="0.25">
      <c r="A16" s="33" t="s">
        <v>95</v>
      </c>
      <c r="B16" s="28" t="s">
        <v>96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>
        <v>1686</v>
      </c>
      <c r="W16" s="25">
        <v>1361.6</v>
      </c>
      <c r="X16" s="25">
        <v>1395.64111</v>
      </c>
      <c r="Y16" s="25">
        <v>1395.64111</v>
      </c>
      <c r="Z16" s="25">
        <v>1561.7</v>
      </c>
      <c r="AA16" s="25">
        <v>1561.7</v>
      </c>
      <c r="AB16" s="25">
        <v>2059.7260799999999</v>
      </c>
      <c r="AC16" s="25">
        <v>2059.7260799999999</v>
      </c>
      <c r="AD16" s="25">
        <v>1910</v>
      </c>
      <c r="AE16" s="25">
        <v>2160</v>
      </c>
      <c r="AF16" s="25">
        <v>2398.6550400000001</v>
      </c>
      <c r="AG16" s="25">
        <v>2398.6550400000001</v>
      </c>
      <c r="AH16" s="25">
        <v>1968.3</v>
      </c>
      <c r="AI16" s="25">
        <v>2190.6999999999998</v>
      </c>
      <c r="AJ16" s="25">
        <v>2190.6999999999998</v>
      </c>
      <c r="AK16" s="25">
        <v>2048.3000000000002</v>
      </c>
      <c r="AL16" s="25">
        <v>2232.1000300000001</v>
      </c>
      <c r="AM16" s="25">
        <v>2232.1000300000001</v>
      </c>
      <c r="AN16" s="25">
        <v>2714.8</v>
      </c>
      <c r="AO16" s="25">
        <v>2714.8</v>
      </c>
      <c r="AP16" s="25">
        <v>2714.8</v>
      </c>
      <c r="AQ16" s="25"/>
      <c r="AR16" s="25"/>
      <c r="AS16" s="25"/>
      <c r="AT16" s="25">
        <v>2714.8</v>
      </c>
      <c r="AU16" s="25">
        <v>2964.8</v>
      </c>
      <c r="AV16" s="25">
        <v>3568.2235099999998</v>
      </c>
      <c r="AW16" s="25">
        <v>3568.2235099999998</v>
      </c>
      <c r="AX16" s="25">
        <v>2964.8</v>
      </c>
      <c r="AY16" s="25">
        <v>3064.8</v>
      </c>
      <c r="AZ16" s="25">
        <v>3064.8</v>
      </c>
      <c r="BA16" s="25"/>
      <c r="BB16" s="25"/>
      <c r="BC16" s="34">
        <v>3764.8</v>
      </c>
      <c r="BD16" s="35">
        <v>3764.8</v>
      </c>
      <c r="BE16" s="35">
        <v>4687.7197500000002</v>
      </c>
      <c r="BF16" s="25">
        <v>4687.7197500000002</v>
      </c>
      <c r="BG16" s="35">
        <v>3490.6</v>
      </c>
      <c r="BH16" s="25">
        <v>3545.8</v>
      </c>
      <c r="BI16" s="25">
        <v>3545.8</v>
      </c>
      <c r="BJ16" s="20">
        <v>3490.6</v>
      </c>
      <c r="BK16" s="27">
        <v>3490.6</v>
      </c>
      <c r="BL16" s="35">
        <v>4050.2</v>
      </c>
      <c r="BM16" s="20">
        <f t="shared" si="6"/>
        <v>559.59999999999991</v>
      </c>
      <c r="BN16" s="20">
        <f t="shared" si="7"/>
        <v>116.03162780037815</v>
      </c>
      <c r="BO16" s="35"/>
      <c r="BP16" s="35">
        <v>5136.5316599999996</v>
      </c>
      <c r="BQ16" s="25">
        <v>4687.7197500000002</v>
      </c>
      <c r="BR16" s="20">
        <f t="shared" ref="BR16:BR21" si="20">BP16/BG16*100</f>
        <v>147.15325903856069</v>
      </c>
      <c r="BS16" s="20">
        <f t="shared" ref="BS16:BS21" si="21">BP16/BL16*100</f>
        <v>126.82167942323836</v>
      </c>
      <c r="BT16" s="20">
        <f t="shared" ref="BT16:BT21" si="22">BP16/BE16*100</f>
        <v>109.57420524125827</v>
      </c>
    </row>
    <row r="17" spans="1:72" ht="22.5" hidden="1" customHeight="1" x14ac:dyDescent="0.25">
      <c r="A17" s="33" t="s">
        <v>97</v>
      </c>
      <c r="B17" s="28" t="s">
        <v>98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>
        <v>42</v>
      </c>
      <c r="W17" s="25">
        <v>42</v>
      </c>
      <c r="X17" s="25">
        <v>14.16812</v>
      </c>
      <c r="Y17" s="25">
        <v>14.16812</v>
      </c>
      <c r="Z17" s="25">
        <v>15.8</v>
      </c>
      <c r="AA17" s="25">
        <v>15.8</v>
      </c>
      <c r="AB17" s="25">
        <v>19.836559999999999</v>
      </c>
      <c r="AC17" s="25">
        <v>19.836559999999999</v>
      </c>
      <c r="AD17" s="25">
        <v>16</v>
      </c>
      <c r="AE17" s="25">
        <v>16</v>
      </c>
      <c r="AF17" s="25">
        <v>17.630739999999999</v>
      </c>
      <c r="AG17" s="25">
        <v>17.630739999999999</v>
      </c>
      <c r="AH17" s="25">
        <v>17.2</v>
      </c>
      <c r="AI17" s="25">
        <v>19.2</v>
      </c>
      <c r="AJ17" s="25">
        <v>19.2</v>
      </c>
      <c r="AK17" s="25">
        <v>17.2</v>
      </c>
      <c r="AL17" s="25">
        <v>15.965590000000001</v>
      </c>
      <c r="AM17" s="25">
        <v>15.965590000000001</v>
      </c>
      <c r="AN17" s="25">
        <v>23.8</v>
      </c>
      <c r="AO17" s="25">
        <v>23.8</v>
      </c>
      <c r="AP17" s="25">
        <v>23.8</v>
      </c>
      <c r="AQ17" s="25"/>
      <c r="AR17" s="25"/>
      <c r="AS17" s="25"/>
      <c r="AT17" s="25">
        <v>23.8</v>
      </c>
      <c r="AU17" s="25">
        <v>23.8</v>
      </c>
      <c r="AV17" s="25">
        <v>25.094360000000002</v>
      </c>
      <c r="AW17" s="25">
        <v>25.094360000000002</v>
      </c>
      <c r="AX17" s="25">
        <v>25</v>
      </c>
      <c r="AY17" s="25">
        <v>25.5</v>
      </c>
      <c r="AZ17" s="25">
        <v>25.5</v>
      </c>
      <c r="BA17" s="25"/>
      <c r="BB17" s="25"/>
      <c r="BC17" s="34">
        <v>25</v>
      </c>
      <c r="BD17" s="35">
        <v>25</v>
      </c>
      <c r="BE17" s="35">
        <v>25.320959999999999</v>
      </c>
      <c r="BF17" s="25">
        <v>25.320959999999999</v>
      </c>
      <c r="BG17" s="35">
        <v>24</v>
      </c>
      <c r="BH17" s="25">
        <v>24.4</v>
      </c>
      <c r="BI17" s="25">
        <v>24.4</v>
      </c>
      <c r="BJ17" s="20">
        <v>24</v>
      </c>
      <c r="BK17" s="27">
        <v>24</v>
      </c>
      <c r="BL17" s="35">
        <v>24</v>
      </c>
      <c r="BM17" s="20">
        <f t="shared" si="6"/>
        <v>0</v>
      </c>
      <c r="BN17" s="20">
        <f t="shared" si="7"/>
        <v>100</v>
      </c>
      <c r="BO17" s="35"/>
      <c r="BP17" s="35">
        <v>26.82762</v>
      </c>
      <c r="BQ17" s="25">
        <v>25.320959999999999</v>
      </c>
      <c r="BR17" s="20">
        <f t="shared" si="20"/>
        <v>111.78174999999999</v>
      </c>
      <c r="BS17" s="20">
        <f t="shared" si="21"/>
        <v>111.78174999999999</v>
      </c>
      <c r="BT17" s="20">
        <f t="shared" si="22"/>
        <v>105.95024833181681</v>
      </c>
    </row>
    <row r="18" spans="1:72" ht="22.5" hidden="1" customHeight="1" x14ac:dyDescent="0.25">
      <c r="A18" s="33" t="s">
        <v>99</v>
      </c>
      <c r="B18" s="28" t="s">
        <v>100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>
        <v>2487</v>
      </c>
      <c r="W18" s="25">
        <v>2077.3000000000002</v>
      </c>
      <c r="X18" s="25">
        <v>2257.0454599999998</v>
      </c>
      <c r="Y18" s="25">
        <v>2257.0454599999998</v>
      </c>
      <c r="Z18" s="25">
        <v>2366.1999999999998</v>
      </c>
      <c r="AA18" s="25">
        <v>2366.1999999999998</v>
      </c>
      <c r="AB18" s="25">
        <v>3004.6584200000002</v>
      </c>
      <c r="AC18" s="25">
        <v>3004.6584200000002</v>
      </c>
      <c r="AD18" s="25">
        <v>2850.3</v>
      </c>
      <c r="AE18" s="25">
        <v>3000.3</v>
      </c>
      <c r="AF18" s="25">
        <v>3204.6112899999998</v>
      </c>
      <c r="AG18" s="25">
        <v>3204.6112899999998</v>
      </c>
      <c r="AH18" s="25">
        <v>2937.6</v>
      </c>
      <c r="AI18" s="25">
        <v>3269.6</v>
      </c>
      <c r="AJ18" s="25">
        <v>3269.6</v>
      </c>
      <c r="AK18" s="25">
        <v>2787.6</v>
      </c>
      <c r="AL18" s="25">
        <v>3002.8016699999998</v>
      </c>
      <c r="AM18" s="25">
        <v>3002.8016699999998</v>
      </c>
      <c r="AN18" s="25">
        <v>4051.8</v>
      </c>
      <c r="AO18" s="25">
        <v>4051.8</v>
      </c>
      <c r="AP18" s="25">
        <v>4051.8</v>
      </c>
      <c r="AQ18" s="25"/>
      <c r="AR18" s="25"/>
      <c r="AS18" s="25"/>
      <c r="AT18" s="25">
        <v>4051.8</v>
      </c>
      <c r="AU18" s="25">
        <v>4051.8</v>
      </c>
      <c r="AV18" s="25">
        <v>4744.2783600000002</v>
      </c>
      <c r="AW18" s="25">
        <v>4744.2783600000002</v>
      </c>
      <c r="AX18" s="25">
        <v>4497</v>
      </c>
      <c r="AY18" s="25">
        <v>4805.8999999999996</v>
      </c>
      <c r="AZ18" s="25">
        <v>4805.8999999999996</v>
      </c>
      <c r="BA18" s="25"/>
      <c r="BB18" s="25"/>
      <c r="BC18" s="34">
        <v>4813.7</v>
      </c>
      <c r="BD18" s="35">
        <v>4813.7</v>
      </c>
      <c r="BE18" s="35">
        <v>5175.7719999999999</v>
      </c>
      <c r="BF18" s="25">
        <v>4637.9545900000003</v>
      </c>
      <c r="BG18" s="35">
        <v>4473.1000000000004</v>
      </c>
      <c r="BH18" s="25">
        <v>4543.8</v>
      </c>
      <c r="BI18" s="25">
        <v>4543.8</v>
      </c>
      <c r="BJ18" s="20">
        <v>4473.1000000000004</v>
      </c>
      <c r="BK18" s="27">
        <v>4473.1000000000004</v>
      </c>
      <c r="BL18" s="35">
        <v>4473.1000000000004</v>
      </c>
      <c r="BM18" s="20">
        <f t="shared" si="6"/>
        <v>0</v>
      </c>
      <c r="BN18" s="20">
        <f t="shared" si="7"/>
        <v>100</v>
      </c>
      <c r="BO18" s="35"/>
      <c r="BP18" s="35">
        <v>5309.0062099999996</v>
      </c>
      <c r="BQ18" s="25">
        <v>4637.9545900000003</v>
      </c>
      <c r="BR18" s="20">
        <f t="shared" si="20"/>
        <v>118.68740269611678</v>
      </c>
      <c r="BS18" s="20">
        <f t="shared" si="21"/>
        <v>118.68740269611678</v>
      </c>
      <c r="BT18" s="20">
        <f t="shared" si="22"/>
        <v>102.57419009183558</v>
      </c>
    </row>
    <row r="19" spans="1:72" ht="22.5" hidden="1" customHeight="1" x14ac:dyDescent="0.25">
      <c r="A19" s="33" t="s">
        <v>101</v>
      </c>
      <c r="B19" s="28" t="s">
        <v>102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>
        <v>-270.30268999999998</v>
      </c>
      <c r="Y19" s="25">
        <v>-270.30268999999998</v>
      </c>
      <c r="Z19" s="25"/>
      <c r="AA19" s="25"/>
      <c r="AB19" s="25">
        <v>-461.49556999999999</v>
      </c>
      <c r="AC19" s="25">
        <v>-461.49556999999999</v>
      </c>
      <c r="AD19" s="25"/>
      <c r="AE19" s="25"/>
      <c r="AF19" s="25">
        <v>-351.24898000000002</v>
      </c>
      <c r="AG19" s="25">
        <v>-351.24898000000002</v>
      </c>
      <c r="AH19" s="25"/>
      <c r="AI19" s="25"/>
      <c r="AJ19" s="25"/>
      <c r="AK19" s="25"/>
      <c r="AL19" s="25">
        <v>-411.49754000000001</v>
      </c>
      <c r="AM19" s="25">
        <v>-411.49754000000001</v>
      </c>
      <c r="AN19" s="25"/>
      <c r="AO19" s="25"/>
      <c r="AP19" s="25"/>
      <c r="AQ19" s="25"/>
      <c r="AR19" s="25"/>
      <c r="AS19" s="25"/>
      <c r="AT19" s="25">
        <v>0</v>
      </c>
      <c r="AU19" s="25">
        <v>0</v>
      </c>
      <c r="AV19" s="25">
        <v>-608.47373000000005</v>
      </c>
      <c r="AW19" s="25">
        <v>-608.47373000000005</v>
      </c>
      <c r="AX19" s="25"/>
      <c r="AY19" s="25"/>
      <c r="AZ19" s="25"/>
      <c r="BA19" s="25"/>
      <c r="BB19" s="25"/>
      <c r="BC19" s="26"/>
      <c r="BD19" s="25"/>
      <c r="BE19" s="25">
        <v>-537.81741</v>
      </c>
      <c r="BF19" s="25">
        <v>0</v>
      </c>
      <c r="BG19" s="25"/>
      <c r="BH19" s="25"/>
      <c r="BI19" s="25"/>
      <c r="BJ19" s="20"/>
      <c r="BK19" s="27"/>
      <c r="BL19" s="25"/>
      <c r="BM19" s="20">
        <f t="shared" si="6"/>
        <v>0</v>
      </c>
      <c r="BN19" s="20" t="e">
        <f t="shared" si="7"/>
        <v>#DIV/0!</v>
      </c>
      <c r="BO19" s="25"/>
      <c r="BP19" s="25">
        <v>-559.23811000000001</v>
      </c>
      <c r="BQ19" s="25">
        <v>0</v>
      </c>
      <c r="BR19" s="20" t="e">
        <f t="shared" si="20"/>
        <v>#DIV/0!</v>
      </c>
      <c r="BS19" s="20" t="e">
        <f t="shared" si="21"/>
        <v>#DIV/0!</v>
      </c>
      <c r="BT19" s="20">
        <f t="shared" si="22"/>
        <v>103.98289449201728</v>
      </c>
    </row>
    <row r="20" spans="1:72" s="37" customFormat="1" ht="16.5" customHeight="1" x14ac:dyDescent="0.25">
      <c r="A20" s="18" t="s">
        <v>103</v>
      </c>
      <c r="B20" s="36" t="s">
        <v>104</v>
      </c>
      <c r="C20" s="20">
        <v>0.66779999999999995</v>
      </c>
      <c r="D20" s="20">
        <v>0</v>
      </c>
      <c r="E20" s="20">
        <v>0.3</v>
      </c>
      <c r="F20" s="20">
        <v>0.3</v>
      </c>
      <c r="G20" s="20">
        <v>0</v>
      </c>
      <c r="H20" s="20">
        <v>0.5</v>
      </c>
      <c r="I20" s="20">
        <v>0.5</v>
      </c>
      <c r="J20" s="20">
        <v>0</v>
      </c>
      <c r="K20" s="20">
        <v>9.5</v>
      </c>
      <c r="L20" s="20">
        <f>9.469+0.245</f>
        <v>9.7139999999999986</v>
      </c>
      <c r="M20" s="20">
        <f>9.469+0.245</f>
        <v>9.7139999999999986</v>
      </c>
      <c r="N20" s="20">
        <v>0</v>
      </c>
      <c r="O20" s="20">
        <v>0</v>
      </c>
      <c r="P20" s="20">
        <v>0.1</v>
      </c>
      <c r="Q20" s="20">
        <v>0.1</v>
      </c>
      <c r="R20" s="20">
        <v>0</v>
      </c>
      <c r="S20" s="20">
        <v>13.2</v>
      </c>
      <c r="T20" s="20">
        <f>12.1515+1+7.5/1000</f>
        <v>13.159000000000001</v>
      </c>
      <c r="U20" s="20">
        <v>13.159000000000001</v>
      </c>
      <c r="V20" s="20">
        <v>5</v>
      </c>
      <c r="W20" s="20">
        <v>47.8</v>
      </c>
      <c r="X20" s="20">
        <v>47.876620000000003</v>
      </c>
      <c r="Y20" s="20">
        <v>47.876620000000003</v>
      </c>
      <c r="Z20" s="20">
        <v>16</v>
      </c>
      <c r="AA20" s="20">
        <v>27.8</v>
      </c>
      <c r="AB20" s="20">
        <f>20.537+0.30718+7.2731</f>
        <v>28.117279999999997</v>
      </c>
      <c r="AC20" s="20">
        <f>20.537+0.30718+7.2731</f>
        <v>28.117279999999997</v>
      </c>
      <c r="AD20" s="20">
        <v>10</v>
      </c>
      <c r="AE20" s="20">
        <v>10</v>
      </c>
      <c r="AF20" s="20">
        <v>11.41854</v>
      </c>
      <c r="AG20" s="20">
        <v>11.41854</v>
      </c>
      <c r="AH20" s="20">
        <v>15</v>
      </c>
      <c r="AI20" s="20">
        <v>16</v>
      </c>
      <c r="AJ20" s="20">
        <v>18</v>
      </c>
      <c r="AK20" s="20">
        <v>3</v>
      </c>
      <c r="AL20" s="20">
        <v>2.6288100000000001</v>
      </c>
      <c r="AM20" s="20">
        <v>2.6288100000000001</v>
      </c>
      <c r="AN20" s="20">
        <v>5</v>
      </c>
      <c r="AO20" s="20">
        <v>5</v>
      </c>
      <c r="AP20" s="20">
        <v>5</v>
      </c>
      <c r="AQ20" s="20">
        <v>5</v>
      </c>
      <c r="AR20" s="20">
        <v>84.4</v>
      </c>
      <c r="AS20" s="20">
        <v>84.4</v>
      </c>
      <c r="AT20" s="20">
        <v>78.400000000000006</v>
      </c>
      <c r="AU20" s="20">
        <v>85.4</v>
      </c>
      <c r="AV20" s="20">
        <f>83.5525+1.60452+0.12859</f>
        <v>85.285609999999991</v>
      </c>
      <c r="AW20" s="20">
        <v>85.285610000000005</v>
      </c>
      <c r="AX20" s="20">
        <v>5</v>
      </c>
      <c r="AY20" s="20">
        <v>5</v>
      </c>
      <c r="AZ20" s="20">
        <v>5</v>
      </c>
      <c r="BA20" s="20">
        <v>5</v>
      </c>
      <c r="BB20" s="20">
        <v>5</v>
      </c>
      <c r="BC20" s="27">
        <v>76.599999999999994</v>
      </c>
      <c r="BD20" s="20">
        <v>76.599999999999994</v>
      </c>
      <c r="BE20" s="20">
        <v>76.665229999999994</v>
      </c>
      <c r="BF20" s="20">
        <v>76.665229999999994</v>
      </c>
      <c r="BG20" s="20">
        <v>12</v>
      </c>
      <c r="BH20" s="20">
        <v>12</v>
      </c>
      <c r="BI20" s="20">
        <v>12</v>
      </c>
      <c r="BJ20" s="20">
        <v>12</v>
      </c>
      <c r="BK20" s="27">
        <v>12</v>
      </c>
      <c r="BL20" s="20">
        <v>46.3</v>
      </c>
      <c r="BM20" s="20">
        <f t="shared" si="6"/>
        <v>34.299999999999997</v>
      </c>
      <c r="BN20" s="20">
        <f t="shared" si="7"/>
        <v>385.83333333333331</v>
      </c>
      <c r="BO20" s="20">
        <v>3.8</v>
      </c>
      <c r="BP20" s="20">
        <v>46.682580000000002</v>
      </c>
      <c r="BQ20" s="20">
        <v>76.665229999999994</v>
      </c>
      <c r="BR20" s="20">
        <f t="shared" si="20"/>
        <v>389.0215</v>
      </c>
      <c r="BS20" s="20">
        <f t="shared" si="21"/>
        <v>100.82630669546437</v>
      </c>
      <c r="BT20" s="20">
        <f t="shared" si="22"/>
        <v>60.891462792194076</v>
      </c>
    </row>
    <row r="21" spans="1:72" ht="15.75" customHeight="1" x14ac:dyDescent="0.25">
      <c r="A21" s="18" t="s">
        <v>105</v>
      </c>
      <c r="B21" s="19" t="s">
        <v>106</v>
      </c>
      <c r="C21" s="20">
        <f t="shared" ref="C21:AG21" si="23">C28+C22</f>
        <v>242.87862000000001</v>
      </c>
      <c r="D21" s="20">
        <f t="shared" si="23"/>
        <v>694</v>
      </c>
      <c r="E21" s="20">
        <f t="shared" si="23"/>
        <v>694</v>
      </c>
      <c r="F21" s="20">
        <f t="shared" si="23"/>
        <v>400.93340999999998</v>
      </c>
      <c r="G21" s="20">
        <f t="shared" si="23"/>
        <v>632</v>
      </c>
      <c r="H21" s="20">
        <f t="shared" si="23"/>
        <v>764.3</v>
      </c>
      <c r="I21" s="20">
        <f t="shared" si="23"/>
        <v>769.46163999999987</v>
      </c>
      <c r="J21" s="20">
        <f t="shared" si="23"/>
        <v>387</v>
      </c>
      <c r="K21" s="20">
        <f t="shared" si="23"/>
        <v>531</v>
      </c>
      <c r="L21" s="20">
        <f t="shared" si="23"/>
        <v>515.18920000000003</v>
      </c>
      <c r="M21" s="20">
        <f t="shared" si="23"/>
        <v>506.52123</v>
      </c>
      <c r="N21" s="20">
        <f t="shared" si="23"/>
        <v>792</v>
      </c>
      <c r="O21" s="20">
        <f t="shared" si="23"/>
        <v>792</v>
      </c>
      <c r="P21" s="20">
        <f t="shared" si="23"/>
        <v>754.62914000000001</v>
      </c>
      <c r="Q21" s="20">
        <f t="shared" si="23"/>
        <v>754.62914000000001</v>
      </c>
      <c r="R21" s="20">
        <f t="shared" si="23"/>
        <v>545</v>
      </c>
      <c r="S21" s="20">
        <f t="shared" si="23"/>
        <v>1260.0999999999999</v>
      </c>
      <c r="T21" s="20">
        <f t="shared" si="23"/>
        <v>1260.34384</v>
      </c>
      <c r="U21" s="20">
        <f t="shared" si="23"/>
        <v>1260.34384</v>
      </c>
      <c r="V21" s="20">
        <f t="shared" si="23"/>
        <v>1070</v>
      </c>
      <c r="W21" s="20">
        <f t="shared" si="23"/>
        <v>1992</v>
      </c>
      <c r="X21" s="20">
        <f t="shared" si="23"/>
        <v>2006.4058199999999</v>
      </c>
      <c r="Y21" s="20">
        <f t="shared" si="23"/>
        <v>1998.1884700000001</v>
      </c>
      <c r="Z21" s="20">
        <f t="shared" si="23"/>
        <v>1137</v>
      </c>
      <c r="AA21" s="20">
        <f t="shared" si="23"/>
        <v>1982.3</v>
      </c>
      <c r="AB21" s="20">
        <f t="shared" si="23"/>
        <v>2107.1220399999997</v>
      </c>
      <c r="AC21" s="20">
        <f t="shared" si="23"/>
        <v>2217.1391400000002</v>
      </c>
      <c r="AD21" s="20">
        <f t="shared" si="23"/>
        <v>1510</v>
      </c>
      <c r="AE21" s="20">
        <f t="shared" si="23"/>
        <v>1965</v>
      </c>
      <c r="AF21" s="20">
        <f t="shared" si="23"/>
        <v>2058.3388800000002</v>
      </c>
      <c r="AG21" s="20">
        <f t="shared" si="23"/>
        <v>2252.4068400000001</v>
      </c>
      <c r="AH21" s="20">
        <f t="shared" ref="AH21:AP21" si="24">AH28+AH22+AH25</f>
        <v>1987</v>
      </c>
      <c r="AI21" s="20">
        <f t="shared" si="24"/>
        <v>1996.2</v>
      </c>
      <c r="AJ21" s="20">
        <f t="shared" si="24"/>
        <v>2010.2</v>
      </c>
      <c r="AK21" s="20">
        <f t="shared" si="24"/>
        <v>1142.4000000000001</v>
      </c>
      <c r="AL21" s="20">
        <f t="shared" si="24"/>
        <v>1176.8465700000002</v>
      </c>
      <c r="AM21" s="20">
        <f t="shared" si="24"/>
        <v>1538.4100100000003</v>
      </c>
      <c r="AN21" s="20">
        <f t="shared" si="24"/>
        <v>1658.2</v>
      </c>
      <c r="AO21" s="20">
        <f t="shared" si="24"/>
        <v>1658.2</v>
      </c>
      <c r="AP21" s="20">
        <f t="shared" si="24"/>
        <v>1658.2</v>
      </c>
      <c r="AQ21" s="20">
        <v>1658.2</v>
      </c>
      <c r="AR21" s="20">
        <v>1658.2</v>
      </c>
      <c r="AS21" s="20">
        <v>1658.2</v>
      </c>
      <c r="AT21" s="20">
        <f t="shared" ref="AT21:AZ21" si="25">AT28+AT22+AT25</f>
        <v>1658.2</v>
      </c>
      <c r="AU21" s="20">
        <f t="shared" si="25"/>
        <v>2101.1999999999998</v>
      </c>
      <c r="AV21" s="20">
        <f t="shared" si="25"/>
        <v>2150.1361299999999</v>
      </c>
      <c r="AW21" s="20">
        <f>AW28+AW22+AW25</f>
        <v>2026.85113</v>
      </c>
      <c r="AX21" s="20">
        <f t="shared" si="25"/>
        <v>1695</v>
      </c>
      <c r="AY21" s="20">
        <f t="shared" si="25"/>
        <v>1710</v>
      </c>
      <c r="AZ21" s="20">
        <f t="shared" si="25"/>
        <v>1720</v>
      </c>
      <c r="BA21" s="20">
        <f>BA28+BA22+BA25-1</f>
        <v>1695</v>
      </c>
      <c r="BB21" s="20">
        <f>BB28+BB22+BB25-2</f>
        <v>1695</v>
      </c>
      <c r="BC21" s="27">
        <f t="shared" ref="BC21:BL21" si="26">BC28+BC22+BC25</f>
        <v>1695</v>
      </c>
      <c r="BD21" s="20">
        <f t="shared" si="26"/>
        <v>2541</v>
      </c>
      <c r="BE21" s="20">
        <f t="shared" si="26"/>
        <v>2756.8085599999999</v>
      </c>
      <c r="BF21" s="20">
        <f t="shared" si="26"/>
        <v>2855.0708100000002</v>
      </c>
      <c r="BG21" s="20">
        <f t="shared" si="26"/>
        <v>1742</v>
      </c>
      <c r="BH21" s="20">
        <f t="shared" si="26"/>
        <v>1765</v>
      </c>
      <c r="BI21" s="20">
        <f t="shared" si="26"/>
        <v>1783</v>
      </c>
      <c r="BJ21" s="20">
        <f t="shared" si="26"/>
        <v>1742</v>
      </c>
      <c r="BK21" s="20">
        <f t="shared" si="26"/>
        <v>1742</v>
      </c>
      <c r="BL21" s="20">
        <f t="shared" si="26"/>
        <v>2449.5</v>
      </c>
      <c r="BM21" s="20">
        <f t="shared" si="6"/>
        <v>707.5</v>
      </c>
      <c r="BN21" s="20">
        <f t="shared" si="7"/>
        <v>140.61423650975891</v>
      </c>
      <c r="BO21" s="20">
        <f>BO28+BO22+BO25</f>
        <v>2778.8</v>
      </c>
      <c r="BP21" s="20">
        <f>BP28+BP22+BP25</f>
        <v>2742.75288</v>
      </c>
      <c r="BQ21" s="20">
        <f>BQ28+BQ22+BQ25</f>
        <v>120.97854</v>
      </c>
      <c r="BR21" s="20">
        <f t="shared" si="20"/>
        <v>157.44850057405282</v>
      </c>
      <c r="BS21" s="20">
        <f t="shared" si="21"/>
        <v>111.9719485609308</v>
      </c>
      <c r="BT21" s="20">
        <f t="shared" si="22"/>
        <v>99.490146678882923</v>
      </c>
    </row>
    <row r="22" spans="1:72" ht="18.75" customHeight="1" x14ac:dyDescent="0.25">
      <c r="A22" s="18" t="s">
        <v>107</v>
      </c>
      <c r="B22" s="19" t="s">
        <v>108</v>
      </c>
      <c r="C22" s="20">
        <f t="shared" ref="C22:AP22" si="27">C23</f>
        <v>112.69597</v>
      </c>
      <c r="D22" s="20">
        <f t="shared" si="27"/>
        <v>365</v>
      </c>
      <c r="E22" s="20">
        <f t="shared" si="27"/>
        <v>365</v>
      </c>
      <c r="F22" s="20">
        <f t="shared" si="27"/>
        <v>242.02986000000001</v>
      </c>
      <c r="G22" s="20">
        <f t="shared" si="27"/>
        <v>300</v>
      </c>
      <c r="H22" s="20">
        <f t="shared" si="27"/>
        <v>605</v>
      </c>
      <c r="I22" s="20">
        <f t="shared" si="27"/>
        <v>610.1957799999999</v>
      </c>
      <c r="J22" s="20">
        <f t="shared" si="27"/>
        <v>250</v>
      </c>
      <c r="K22" s="20">
        <f t="shared" si="27"/>
        <v>400</v>
      </c>
      <c r="L22" s="20">
        <f>L23</f>
        <v>400.00060999999999</v>
      </c>
      <c r="M22" s="20">
        <f>M23</f>
        <v>400.00060999999999</v>
      </c>
      <c r="N22" s="20">
        <f t="shared" si="27"/>
        <v>620</v>
      </c>
      <c r="O22" s="20">
        <f t="shared" si="27"/>
        <v>620</v>
      </c>
      <c r="P22" s="20">
        <f>P23</f>
        <v>391.67778999999996</v>
      </c>
      <c r="Q22" s="20">
        <f>Q23</f>
        <v>391.67778999999996</v>
      </c>
      <c r="R22" s="20">
        <f t="shared" si="27"/>
        <v>400</v>
      </c>
      <c r="S22" s="20">
        <f t="shared" si="27"/>
        <v>256.7</v>
      </c>
      <c r="T22" s="20">
        <f>T23</f>
        <v>256.75448999999998</v>
      </c>
      <c r="U22" s="20">
        <f>U23</f>
        <v>256.75448999999998</v>
      </c>
      <c r="V22" s="20">
        <f t="shared" si="27"/>
        <v>410</v>
      </c>
      <c r="W22" s="20">
        <f t="shared" si="27"/>
        <v>510.6</v>
      </c>
      <c r="X22" s="20">
        <f>X23</f>
        <v>517.86298999999997</v>
      </c>
      <c r="Y22" s="20">
        <f>Y23</f>
        <v>652.49690999999996</v>
      </c>
      <c r="Z22" s="20">
        <f t="shared" si="27"/>
        <v>392</v>
      </c>
      <c r="AA22" s="20">
        <f t="shared" si="27"/>
        <v>1144</v>
      </c>
      <c r="AB22" s="20">
        <f>AB23</f>
        <v>1155.4379999999999</v>
      </c>
      <c r="AC22" s="20">
        <f>AC23</f>
        <v>1276.95272</v>
      </c>
      <c r="AD22" s="20">
        <f t="shared" si="27"/>
        <v>460</v>
      </c>
      <c r="AE22" s="20">
        <f t="shared" si="27"/>
        <v>1130</v>
      </c>
      <c r="AF22" s="20">
        <f t="shared" si="27"/>
        <v>1161.23918</v>
      </c>
      <c r="AG22" s="20">
        <f t="shared" si="27"/>
        <v>1345.4595200000001</v>
      </c>
      <c r="AH22" s="20">
        <f t="shared" si="27"/>
        <v>890</v>
      </c>
      <c r="AI22" s="20">
        <f t="shared" si="27"/>
        <v>896</v>
      </c>
      <c r="AJ22" s="20">
        <f t="shared" si="27"/>
        <v>902</v>
      </c>
      <c r="AK22" s="20">
        <f t="shared" si="27"/>
        <v>485</v>
      </c>
      <c r="AL22" s="20">
        <f t="shared" si="27"/>
        <v>500.55209000000002</v>
      </c>
      <c r="AM22" s="20">
        <f t="shared" si="27"/>
        <v>677.34630000000004</v>
      </c>
      <c r="AN22" s="20">
        <f t="shared" si="27"/>
        <v>670</v>
      </c>
      <c r="AO22" s="20">
        <f t="shared" si="27"/>
        <v>670</v>
      </c>
      <c r="AP22" s="20">
        <f t="shared" si="27"/>
        <v>670</v>
      </c>
      <c r="AQ22" s="20">
        <v>670</v>
      </c>
      <c r="AR22" s="20">
        <v>670</v>
      </c>
      <c r="AS22" s="20">
        <v>670</v>
      </c>
      <c r="AT22" s="20">
        <f>AT23</f>
        <v>670</v>
      </c>
      <c r="AU22" s="20">
        <f>AU23</f>
        <v>850</v>
      </c>
      <c r="AV22" s="20">
        <f>AV23</f>
        <v>877.85059000000001</v>
      </c>
      <c r="AW22" s="20">
        <f>AW23</f>
        <v>1000.12789</v>
      </c>
      <c r="AX22" s="20">
        <f t="shared" ref="AX22:BG22" si="28">AX23</f>
        <v>730</v>
      </c>
      <c r="AY22" s="20">
        <f>AY23</f>
        <v>740</v>
      </c>
      <c r="AZ22" s="20">
        <f>AZ23</f>
        <v>745</v>
      </c>
      <c r="BA22" s="20">
        <f t="shared" si="28"/>
        <v>731</v>
      </c>
      <c r="BB22" s="20">
        <f t="shared" si="28"/>
        <v>732</v>
      </c>
      <c r="BC22" s="27">
        <f t="shared" si="28"/>
        <v>730</v>
      </c>
      <c r="BD22" s="20">
        <f t="shared" si="28"/>
        <v>1480</v>
      </c>
      <c r="BE22" s="20">
        <f>BE23</f>
        <v>1612.6362300000001</v>
      </c>
      <c r="BF22" s="20">
        <f>BF23</f>
        <v>1859.7434000000001</v>
      </c>
      <c r="BG22" s="20">
        <f t="shared" si="28"/>
        <v>830</v>
      </c>
      <c r="BH22" s="20">
        <f>BH23</f>
        <v>840</v>
      </c>
      <c r="BI22" s="20">
        <f>BI23</f>
        <v>850</v>
      </c>
      <c r="BJ22" s="20">
        <f t="shared" ref="BJ22:BO22" si="29">BJ23</f>
        <v>830</v>
      </c>
      <c r="BK22" s="20">
        <f t="shared" si="29"/>
        <v>830</v>
      </c>
      <c r="BL22" s="20">
        <f t="shared" si="29"/>
        <v>1639.6</v>
      </c>
      <c r="BM22" s="20">
        <f t="shared" si="6"/>
        <v>809.59999999999991</v>
      </c>
      <c r="BN22" s="20">
        <f t="shared" si="7"/>
        <v>197.54216867469879</v>
      </c>
      <c r="BO22" s="20">
        <f t="shared" si="29"/>
        <v>1847</v>
      </c>
      <c r="BP22" s="20">
        <f>BP23</f>
        <v>1861.07908</v>
      </c>
      <c r="BQ22" s="20">
        <f>BQ23</f>
        <v>0</v>
      </c>
      <c r="BR22" s="20">
        <f t="shared" ref="BR22:BR36" si="30">BP22/BG22*100</f>
        <v>224.2263951807229</v>
      </c>
      <c r="BS22" s="20">
        <f t="shared" ref="BS22:BS36" si="31">BP22/BL22*100</f>
        <v>113.50811661380824</v>
      </c>
      <c r="BT22" s="20">
        <f t="shared" ref="BT22:BT36" si="32">BP22/BE22*100</f>
        <v>115.40600697033825</v>
      </c>
    </row>
    <row r="23" spans="1:72" ht="22.5" hidden="1" customHeight="1" x14ac:dyDescent="0.25">
      <c r="A23" s="10" t="s">
        <v>109</v>
      </c>
      <c r="B23" s="38" t="s">
        <v>110</v>
      </c>
      <c r="C23" s="25">
        <v>112.69597</v>
      </c>
      <c r="D23" s="25">
        <v>365</v>
      </c>
      <c r="E23" s="25">
        <v>365</v>
      </c>
      <c r="F23" s="25">
        <f>236.03484+5.99502</f>
        <v>242.02986000000001</v>
      </c>
      <c r="G23" s="25">
        <v>300</v>
      </c>
      <c r="H23" s="25">
        <v>605</v>
      </c>
      <c r="I23" s="25">
        <f>592.69351+17.50227</f>
        <v>610.1957799999999</v>
      </c>
      <c r="J23" s="25">
        <v>250</v>
      </c>
      <c r="K23" s="25">
        <v>400</v>
      </c>
      <c r="L23" s="25">
        <f>390.60427+9.39634</f>
        <v>400.00060999999999</v>
      </c>
      <c r="M23" s="25">
        <f>390.60427+9.39634</f>
        <v>400.00060999999999</v>
      </c>
      <c r="N23" s="25">
        <v>620</v>
      </c>
      <c r="O23" s="25">
        <v>620</v>
      </c>
      <c r="P23" s="25">
        <f>381.00937+10.03475+0.63367</f>
        <v>391.67778999999996</v>
      </c>
      <c r="Q23" s="25">
        <f>381.00937+10.03475+0.63367</f>
        <v>391.67778999999996</v>
      </c>
      <c r="R23" s="25">
        <v>400</v>
      </c>
      <c r="S23" s="25">
        <v>256.7</v>
      </c>
      <c r="T23" s="25">
        <f>1.36/1000+243.82709+12.29829+0.62775</f>
        <v>256.75448999999998</v>
      </c>
      <c r="U23" s="25">
        <v>256.75448999999998</v>
      </c>
      <c r="V23" s="25">
        <v>410</v>
      </c>
      <c r="W23" s="25">
        <v>510.6</v>
      </c>
      <c r="X23" s="25">
        <v>517.86298999999997</v>
      </c>
      <c r="Y23" s="25">
        <v>652.49690999999996</v>
      </c>
      <c r="Z23" s="25">
        <v>392</v>
      </c>
      <c r="AA23" s="25">
        <v>1144</v>
      </c>
      <c r="AB23" s="25">
        <f>1147.24199+8.19601</f>
        <v>1155.4379999999999</v>
      </c>
      <c r="AC23" s="25">
        <v>1276.95272</v>
      </c>
      <c r="AD23" s="25">
        <v>460</v>
      </c>
      <c r="AE23" s="25">
        <v>1130</v>
      </c>
      <c r="AF23" s="25">
        <v>1161.23918</v>
      </c>
      <c r="AG23" s="25">
        <v>1345.4595200000001</v>
      </c>
      <c r="AH23" s="25">
        <v>890</v>
      </c>
      <c r="AI23" s="25">
        <v>896</v>
      </c>
      <c r="AJ23" s="25">
        <v>902</v>
      </c>
      <c r="AK23" s="25">
        <v>485</v>
      </c>
      <c r="AL23" s="25">
        <v>500.55209000000002</v>
      </c>
      <c r="AM23" s="25">
        <v>677.34630000000004</v>
      </c>
      <c r="AN23" s="25">
        <v>670</v>
      </c>
      <c r="AO23" s="25">
        <v>670</v>
      </c>
      <c r="AP23" s="25">
        <v>670</v>
      </c>
      <c r="AQ23" s="25"/>
      <c r="AR23" s="25"/>
      <c r="AS23" s="25"/>
      <c r="AT23" s="25">
        <v>670</v>
      </c>
      <c r="AU23" s="25">
        <v>850</v>
      </c>
      <c r="AV23" s="25">
        <f>887.92015-10.06956</f>
        <v>877.85059000000001</v>
      </c>
      <c r="AW23" s="25">
        <v>1000.12789</v>
      </c>
      <c r="AX23" s="25">
        <v>730</v>
      </c>
      <c r="AY23" s="25">
        <v>740</v>
      </c>
      <c r="AZ23" s="25">
        <v>745</v>
      </c>
      <c r="BA23" s="25">
        <v>731</v>
      </c>
      <c r="BB23" s="25">
        <v>732</v>
      </c>
      <c r="BC23" s="25">
        <v>730</v>
      </c>
      <c r="BD23" s="25">
        <v>1480</v>
      </c>
      <c r="BE23" s="25">
        <v>1612.6362300000001</v>
      </c>
      <c r="BF23" s="25">
        <v>1859.7434000000001</v>
      </c>
      <c r="BG23" s="25">
        <v>830</v>
      </c>
      <c r="BH23" s="25">
        <v>840</v>
      </c>
      <c r="BI23" s="25">
        <v>850</v>
      </c>
      <c r="BJ23" s="20">
        <v>830</v>
      </c>
      <c r="BK23" s="27">
        <v>830</v>
      </c>
      <c r="BL23" s="25">
        <v>1639.6</v>
      </c>
      <c r="BM23" s="20">
        <f t="shared" si="6"/>
        <v>809.59999999999991</v>
      </c>
      <c r="BN23" s="20">
        <f t="shared" si="7"/>
        <v>197.54216867469879</v>
      </c>
      <c r="BO23" s="25">
        <v>1847</v>
      </c>
      <c r="BP23" s="25">
        <v>1861.07908</v>
      </c>
      <c r="BQ23" s="25"/>
      <c r="BR23" s="25">
        <f t="shared" si="30"/>
        <v>224.2263951807229</v>
      </c>
      <c r="BS23" s="25">
        <f t="shared" si="31"/>
        <v>113.50811661380824</v>
      </c>
      <c r="BT23" s="25">
        <f t="shared" si="32"/>
        <v>115.40600697033825</v>
      </c>
    </row>
    <row r="24" spans="1:72" ht="22.5" hidden="1" customHeight="1" x14ac:dyDescent="0.25">
      <c r="A24" s="10"/>
      <c r="B24" s="38" t="s">
        <v>111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>
        <v>-277.09775000000002</v>
      </c>
      <c r="AD24" s="25"/>
      <c r="AE24" s="25"/>
      <c r="AF24" s="25"/>
      <c r="AG24" s="25">
        <v>-17.506799999999998</v>
      </c>
      <c r="AH24" s="25"/>
      <c r="AI24" s="25"/>
      <c r="AJ24" s="25"/>
      <c r="AK24" s="25"/>
      <c r="AL24" s="25"/>
      <c r="AM24" s="25">
        <v>-150.89265</v>
      </c>
      <c r="AN24" s="25"/>
      <c r="AO24" s="25"/>
      <c r="AP24" s="25"/>
      <c r="AQ24" s="25"/>
      <c r="AR24" s="25"/>
      <c r="AS24" s="25"/>
      <c r="AT24" s="25"/>
      <c r="AU24" s="25"/>
      <c r="AV24" s="25"/>
      <c r="AW24" s="25">
        <v>-21.101310000000002</v>
      </c>
      <c r="AX24" s="25"/>
      <c r="AY24" s="25"/>
      <c r="AZ24" s="25"/>
      <c r="BA24" s="25"/>
      <c r="BB24" s="25"/>
      <c r="BC24" s="25"/>
      <c r="BD24" s="25"/>
      <c r="BE24" s="25"/>
      <c r="BF24" s="25">
        <v>-4.0508600000000001</v>
      </c>
      <c r="BG24" s="25"/>
      <c r="BH24" s="25"/>
      <c r="BI24" s="25"/>
      <c r="BJ24" s="20"/>
      <c r="BK24" s="27"/>
      <c r="BL24" s="25"/>
      <c r="BM24" s="20">
        <f t="shared" si="6"/>
        <v>0</v>
      </c>
      <c r="BN24" s="20" t="e">
        <f t="shared" si="7"/>
        <v>#DIV/0!</v>
      </c>
      <c r="BO24" s="25"/>
      <c r="BP24" s="25"/>
      <c r="BQ24" s="25"/>
      <c r="BR24" s="25" t="e">
        <f t="shared" si="30"/>
        <v>#DIV/0!</v>
      </c>
      <c r="BS24" s="25" t="e">
        <f t="shared" si="31"/>
        <v>#DIV/0!</v>
      </c>
      <c r="BT24" s="25" t="e">
        <f t="shared" si="32"/>
        <v>#DIV/0!</v>
      </c>
    </row>
    <row r="25" spans="1:72" ht="15.75" customHeight="1" x14ac:dyDescent="0.25">
      <c r="A25" s="18" t="s">
        <v>112</v>
      </c>
      <c r="B25" s="19" t="s">
        <v>113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0">
        <v>88.2</v>
      </c>
      <c r="AI25" s="20">
        <v>88.2</v>
      </c>
      <c r="AJ25" s="20">
        <v>88.2</v>
      </c>
      <c r="AK25" s="20">
        <f>AK26+AK27</f>
        <v>108.2</v>
      </c>
      <c r="AL25" s="20">
        <f>AL26+AL27</f>
        <v>110.76734</v>
      </c>
      <c r="AM25" s="20">
        <f>AM26+AM27</f>
        <v>110.76734</v>
      </c>
      <c r="AN25" s="20">
        <v>88.2</v>
      </c>
      <c r="AO25" s="20">
        <v>88.2</v>
      </c>
      <c r="AP25" s="20">
        <v>88.2</v>
      </c>
      <c r="AQ25" s="20">
        <v>88.2</v>
      </c>
      <c r="AR25" s="20">
        <v>88.2</v>
      </c>
      <c r="AS25" s="20">
        <f>88.2</f>
        <v>88.2</v>
      </c>
      <c r="AT25" s="20">
        <f t="shared" ref="AT25:BA25" si="33">AT26+AT27</f>
        <v>88.2</v>
      </c>
      <c r="AU25" s="20">
        <f t="shared" si="33"/>
        <v>105.2</v>
      </c>
      <c r="AV25" s="20">
        <f t="shared" si="33"/>
        <v>116.14733</v>
      </c>
      <c r="AW25" s="20">
        <f>AW26+AW27</f>
        <v>116.14733</v>
      </c>
      <c r="AX25" s="20">
        <f t="shared" si="33"/>
        <v>95</v>
      </c>
      <c r="AY25" s="20">
        <f t="shared" si="33"/>
        <v>95</v>
      </c>
      <c r="AZ25" s="20">
        <f t="shared" si="33"/>
        <v>95</v>
      </c>
      <c r="BA25" s="20">
        <f t="shared" si="33"/>
        <v>95</v>
      </c>
      <c r="BB25" s="20">
        <v>95</v>
      </c>
      <c r="BC25" s="20">
        <f t="shared" ref="BC25:BL25" si="34">BC26+BC27</f>
        <v>95</v>
      </c>
      <c r="BD25" s="20">
        <f t="shared" si="34"/>
        <v>95</v>
      </c>
      <c r="BE25" s="20">
        <f t="shared" si="34"/>
        <v>117.67567</v>
      </c>
      <c r="BF25" s="20">
        <f t="shared" si="34"/>
        <v>117.67567</v>
      </c>
      <c r="BG25" s="20">
        <f t="shared" si="34"/>
        <v>102</v>
      </c>
      <c r="BH25" s="20">
        <f t="shared" si="34"/>
        <v>105</v>
      </c>
      <c r="BI25" s="20">
        <f t="shared" si="34"/>
        <v>108</v>
      </c>
      <c r="BJ25" s="20">
        <f t="shared" si="34"/>
        <v>102</v>
      </c>
      <c r="BK25" s="20">
        <f t="shared" si="34"/>
        <v>102</v>
      </c>
      <c r="BL25" s="20">
        <f t="shared" si="34"/>
        <v>102</v>
      </c>
      <c r="BM25" s="20">
        <f t="shared" si="6"/>
        <v>0</v>
      </c>
      <c r="BN25" s="20">
        <f t="shared" si="7"/>
        <v>100</v>
      </c>
      <c r="BO25" s="20">
        <v>121.8</v>
      </c>
      <c r="BP25" s="20">
        <f>BP26+BP27</f>
        <v>120.97854</v>
      </c>
      <c r="BQ25" s="20">
        <f>BQ26+BQ27</f>
        <v>120.97854</v>
      </c>
      <c r="BR25" s="20">
        <f t="shared" si="30"/>
        <v>118.60641176470588</v>
      </c>
      <c r="BS25" s="20">
        <f t="shared" si="31"/>
        <v>118.60641176470588</v>
      </c>
      <c r="BT25" s="20">
        <f t="shared" si="32"/>
        <v>102.80675691075309</v>
      </c>
    </row>
    <row r="26" spans="1:72" ht="22.5" hidden="1" customHeight="1" x14ac:dyDescent="0.25">
      <c r="A26" s="10" t="s">
        <v>114</v>
      </c>
      <c r="B26" s="39" t="s">
        <v>115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>
        <v>3.2</v>
      </c>
      <c r="AI26" s="25">
        <v>3.2</v>
      </c>
      <c r="AJ26" s="25">
        <v>3.2</v>
      </c>
      <c r="AK26" s="25">
        <v>6.2</v>
      </c>
      <c r="AL26" s="25">
        <v>7.0842599999999996</v>
      </c>
      <c r="AM26" s="25">
        <v>7.0842599999999996</v>
      </c>
      <c r="AN26" s="25">
        <v>6</v>
      </c>
      <c r="AO26" s="25">
        <v>82.2</v>
      </c>
      <c r="AP26" s="25">
        <v>82.2</v>
      </c>
      <c r="AQ26" s="25">
        <v>82.2</v>
      </c>
      <c r="AR26" s="25">
        <v>82.2</v>
      </c>
      <c r="AS26" s="25"/>
      <c r="AT26" s="25">
        <v>6</v>
      </c>
      <c r="AU26" s="25">
        <v>8</v>
      </c>
      <c r="AV26" s="25">
        <f>8.56296+0.16141-0.08944</f>
        <v>8.6349300000000007</v>
      </c>
      <c r="AW26" s="25">
        <v>8.6349300000000007</v>
      </c>
      <c r="AX26" s="25">
        <v>9</v>
      </c>
      <c r="AY26" s="25">
        <v>9</v>
      </c>
      <c r="AZ26" s="25">
        <v>9</v>
      </c>
      <c r="BA26" s="25">
        <v>9</v>
      </c>
      <c r="BB26" s="25">
        <v>9</v>
      </c>
      <c r="BC26" s="25">
        <v>9</v>
      </c>
      <c r="BD26" s="25">
        <v>7.7</v>
      </c>
      <c r="BE26" s="25">
        <v>8.0746599999999997</v>
      </c>
      <c r="BF26" s="25">
        <v>8.0746599999999997</v>
      </c>
      <c r="BG26" s="25">
        <v>9</v>
      </c>
      <c r="BH26" s="25">
        <v>10</v>
      </c>
      <c r="BI26" s="25">
        <v>10</v>
      </c>
      <c r="BJ26" s="20">
        <v>9</v>
      </c>
      <c r="BK26" s="27">
        <v>9</v>
      </c>
      <c r="BL26" s="25">
        <v>9</v>
      </c>
      <c r="BM26" s="20">
        <f t="shared" si="6"/>
        <v>0</v>
      </c>
      <c r="BN26" s="20">
        <f t="shared" si="7"/>
        <v>100</v>
      </c>
      <c r="BO26" s="25"/>
      <c r="BP26" s="25">
        <v>5.6866000000000003</v>
      </c>
      <c r="BQ26" s="25">
        <v>5.6866000000000003</v>
      </c>
      <c r="BR26" s="25">
        <f t="shared" si="30"/>
        <v>63.184444444444445</v>
      </c>
      <c r="BS26" s="25">
        <f t="shared" si="31"/>
        <v>63.184444444444445</v>
      </c>
      <c r="BT26" s="25">
        <f t="shared" si="32"/>
        <v>70.425256295621125</v>
      </c>
    </row>
    <row r="27" spans="1:72" ht="22.5" hidden="1" customHeight="1" x14ac:dyDescent="0.25">
      <c r="A27" s="10" t="s">
        <v>116</v>
      </c>
      <c r="B27" s="38" t="s">
        <v>117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>
        <v>85</v>
      </c>
      <c r="AI27" s="25">
        <v>85</v>
      </c>
      <c r="AJ27" s="25">
        <v>85</v>
      </c>
      <c r="AK27" s="25">
        <v>102</v>
      </c>
      <c r="AL27" s="25">
        <v>103.68308</v>
      </c>
      <c r="AM27" s="25">
        <v>103.68308</v>
      </c>
      <c r="AN27" s="25">
        <v>82.8</v>
      </c>
      <c r="AO27" s="25">
        <v>6</v>
      </c>
      <c r="AP27" s="25">
        <v>6</v>
      </c>
      <c r="AQ27" s="25">
        <v>6</v>
      </c>
      <c r="AR27" s="25">
        <v>6</v>
      </c>
      <c r="AS27" s="25"/>
      <c r="AT27" s="25">
        <v>82.2</v>
      </c>
      <c r="AU27" s="25">
        <v>97.2</v>
      </c>
      <c r="AV27" s="25">
        <f>107.63453-0.12213</f>
        <v>107.5124</v>
      </c>
      <c r="AW27" s="25">
        <v>107.5124</v>
      </c>
      <c r="AX27" s="25">
        <v>86</v>
      </c>
      <c r="AY27" s="25">
        <v>86</v>
      </c>
      <c r="AZ27" s="25">
        <v>86</v>
      </c>
      <c r="BA27" s="25">
        <v>86</v>
      </c>
      <c r="BB27" s="25">
        <v>86</v>
      </c>
      <c r="BC27" s="25">
        <v>86</v>
      </c>
      <c r="BD27" s="25">
        <v>87.3</v>
      </c>
      <c r="BE27" s="25">
        <v>109.60101</v>
      </c>
      <c r="BF27" s="25">
        <v>109.60101</v>
      </c>
      <c r="BG27" s="25">
        <v>93</v>
      </c>
      <c r="BH27" s="25">
        <v>95</v>
      </c>
      <c r="BI27" s="25">
        <v>98</v>
      </c>
      <c r="BJ27" s="20">
        <v>93</v>
      </c>
      <c r="BK27" s="27">
        <v>93</v>
      </c>
      <c r="BL27" s="25">
        <v>93</v>
      </c>
      <c r="BM27" s="20">
        <f t="shared" si="6"/>
        <v>0</v>
      </c>
      <c r="BN27" s="20">
        <f t="shared" si="7"/>
        <v>100</v>
      </c>
      <c r="BO27" s="25"/>
      <c r="BP27" s="25">
        <v>115.29194</v>
      </c>
      <c r="BQ27" s="25">
        <v>115.29194</v>
      </c>
      <c r="BR27" s="25">
        <f t="shared" si="30"/>
        <v>123.96982795698925</v>
      </c>
      <c r="BS27" s="25">
        <f t="shared" si="31"/>
        <v>123.96982795698925</v>
      </c>
      <c r="BT27" s="25">
        <f t="shared" si="32"/>
        <v>105.19240652983032</v>
      </c>
    </row>
    <row r="28" spans="1:72" ht="18" customHeight="1" x14ac:dyDescent="0.25">
      <c r="A28" s="18" t="s">
        <v>118</v>
      </c>
      <c r="B28" s="19" t="s">
        <v>119</v>
      </c>
      <c r="C28" s="20">
        <f t="shared" ref="C28:AP28" si="35">C29+C31</f>
        <v>130.18265</v>
      </c>
      <c r="D28" s="20">
        <f t="shared" si="35"/>
        <v>329</v>
      </c>
      <c r="E28" s="20">
        <f t="shared" si="35"/>
        <v>329</v>
      </c>
      <c r="F28" s="20">
        <f t="shared" si="35"/>
        <v>158.90355</v>
      </c>
      <c r="G28" s="20">
        <f t="shared" si="35"/>
        <v>332</v>
      </c>
      <c r="H28" s="20">
        <f t="shared" si="35"/>
        <v>159.30000000000001</v>
      </c>
      <c r="I28" s="20">
        <f t="shared" si="35"/>
        <v>159.26586</v>
      </c>
      <c r="J28" s="20">
        <f t="shared" si="35"/>
        <v>137</v>
      </c>
      <c r="K28" s="20">
        <f t="shared" si="35"/>
        <v>131</v>
      </c>
      <c r="L28" s="20">
        <f t="shared" si="35"/>
        <v>115.18858999999999</v>
      </c>
      <c r="M28" s="20">
        <f t="shared" si="35"/>
        <v>106.52061999999999</v>
      </c>
      <c r="N28" s="20">
        <f t="shared" si="35"/>
        <v>172</v>
      </c>
      <c r="O28" s="20">
        <f t="shared" si="35"/>
        <v>172</v>
      </c>
      <c r="P28" s="20">
        <f t="shared" si="35"/>
        <v>362.95135000000005</v>
      </c>
      <c r="Q28" s="20">
        <f t="shared" si="35"/>
        <v>362.95135000000005</v>
      </c>
      <c r="R28" s="20">
        <f t="shared" si="35"/>
        <v>145</v>
      </c>
      <c r="S28" s="20">
        <f t="shared" si="35"/>
        <v>1003.4</v>
      </c>
      <c r="T28" s="20">
        <f t="shared" si="35"/>
        <v>1003.58935</v>
      </c>
      <c r="U28" s="20">
        <f t="shared" si="35"/>
        <v>1003.58935</v>
      </c>
      <c r="V28" s="20">
        <f t="shared" si="35"/>
        <v>660</v>
      </c>
      <c r="W28" s="20">
        <f t="shared" si="35"/>
        <v>1481.4</v>
      </c>
      <c r="X28" s="20">
        <f t="shared" si="35"/>
        <v>1488.5428300000001</v>
      </c>
      <c r="Y28" s="20">
        <f t="shared" si="35"/>
        <v>1345.69156</v>
      </c>
      <c r="Z28" s="20">
        <f t="shared" si="35"/>
        <v>745</v>
      </c>
      <c r="AA28" s="20">
        <f t="shared" si="35"/>
        <v>838.3</v>
      </c>
      <c r="AB28" s="20">
        <f t="shared" si="35"/>
        <v>951.68403999999998</v>
      </c>
      <c r="AC28" s="20">
        <f t="shared" si="35"/>
        <v>940.18642</v>
      </c>
      <c r="AD28" s="20">
        <f t="shared" si="35"/>
        <v>1050</v>
      </c>
      <c r="AE28" s="20">
        <f t="shared" si="35"/>
        <v>835</v>
      </c>
      <c r="AF28" s="20">
        <f t="shared" si="35"/>
        <v>897.09969999999998</v>
      </c>
      <c r="AG28" s="20">
        <f t="shared" si="35"/>
        <v>906.94731999999999</v>
      </c>
      <c r="AH28" s="20">
        <f t="shared" si="35"/>
        <v>1008.8</v>
      </c>
      <c r="AI28" s="20">
        <f t="shared" si="35"/>
        <v>1012</v>
      </c>
      <c r="AJ28" s="20">
        <f t="shared" si="35"/>
        <v>1020</v>
      </c>
      <c r="AK28" s="20">
        <f t="shared" si="35"/>
        <v>549.20000000000005</v>
      </c>
      <c r="AL28" s="20">
        <f t="shared" si="35"/>
        <v>565.52714000000003</v>
      </c>
      <c r="AM28" s="20">
        <f t="shared" si="35"/>
        <v>750.29637000000002</v>
      </c>
      <c r="AN28" s="20">
        <f t="shared" si="35"/>
        <v>900</v>
      </c>
      <c r="AO28" s="20">
        <f t="shared" si="35"/>
        <v>900</v>
      </c>
      <c r="AP28" s="20">
        <f t="shared" si="35"/>
        <v>900</v>
      </c>
      <c r="AQ28" s="20">
        <v>900</v>
      </c>
      <c r="AR28" s="20">
        <v>900</v>
      </c>
      <c r="AS28" s="20">
        <v>900</v>
      </c>
      <c r="AT28" s="20">
        <f>AT29+AT31</f>
        <v>900</v>
      </c>
      <c r="AU28" s="20">
        <f>AU29+AU31</f>
        <v>1146</v>
      </c>
      <c r="AV28" s="20">
        <f>AV29+AV31</f>
        <v>1156.1382100000001</v>
      </c>
      <c r="AW28" s="20">
        <f>AW29+AW31</f>
        <v>910.57591000000002</v>
      </c>
      <c r="AX28" s="20">
        <f t="shared" ref="AX28" si="36">AX29+AX31</f>
        <v>870</v>
      </c>
      <c r="AY28" s="20">
        <f>AY29+AY31</f>
        <v>875</v>
      </c>
      <c r="AZ28" s="20">
        <f>AZ29+AZ31</f>
        <v>880</v>
      </c>
      <c r="BA28" s="20">
        <v>870</v>
      </c>
      <c r="BB28" s="20">
        <v>870</v>
      </c>
      <c r="BC28" s="20">
        <f t="shared" ref="BC28:BD28" si="37">BC29+BC31</f>
        <v>870</v>
      </c>
      <c r="BD28" s="20">
        <f t="shared" si="37"/>
        <v>966</v>
      </c>
      <c r="BE28" s="20">
        <f>BE29+BE31</f>
        <v>1026.49666</v>
      </c>
      <c r="BF28" s="20">
        <f>BF29+BF31</f>
        <v>877.65174000000002</v>
      </c>
      <c r="BG28" s="20">
        <f t="shared" ref="BG28" si="38">BG29+BG31</f>
        <v>810</v>
      </c>
      <c r="BH28" s="20">
        <f>BH29+BH31</f>
        <v>820</v>
      </c>
      <c r="BI28" s="20">
        <f>BI29+BI31</f>
        <v>825</v>
      </c>
      <c r="BJ28" s="20">
        <f t="shared" ref="BJ28:BO28" si="39">BJ29+BJ31</f>
        <v>810</v>
      </c>
      <c r="BK28" s="20">
        <f t="shared" si="39"/>
        <v>810</v>
      </c>
      <c r="BL28" s="20">
        <f t="shared" si="39"/>
        <v>707.9</v>
      </c>
      <c r="BM28" s="20">
        <f t="shared" si="6"/>
        <v>-102.10000000000002</v>
      </c>
      <c r="BN28" s="20">
        <f t="shared" si="7"/>
        <v>87.395061728395063</v>
      </c>
      <c r="BO28" s="20">
        <f t="shared" si="39"/>
        <v>810</v>
      </c>
      <c r="BP28" s="20">
        <f>BP29+BP31</f>
        <v>760.69525999999996</v>
      </c>
      <c r="BQ28" s="20">
        <f>BQ29+BQ31</f>
        <v>0</v>
      </c>
      <c r="BR28" s="20">
        <f t="shared" si="30"/>
        <v>93.912995061728395</v>
      </c>
      <c r="BS28" s="20">
        <f t="shared" si="31"/>
        <v>107.45801101850543</v>
      </c>
      <c r="BT28" s="20">
        <f t="shared" si="32"/>
        <v>74.10596543002876</v>
      </c>
    </row>
    <row r="29" spans="1:72" ht="22.5" hidden="1" customHeight="1" x14ac:dyDescent="0.25">
      <c r="A29" s="10" t="s">
        <v>120</v>
      </c>
      <c r="B29" s="38" t="s">
        <v>121</v>
      </c>
      <c r="C29" s="25">
        <v>88.737409999999997</v>
      </c>
      <c r="D29" s="25">
        <v>220</v>
      </c>
      <c r="E29" s="25">
        <v>220</v>
      </c>
      <c r="F29" s="25">
        <f>90.45329+4.81949</f>
        <v>95.272779999999997</v>
      </c>
      <c r="G29" s="25">
        <v>220</v>
      </c>
      <c r="H29" s="25">
        <v>77.3</v>
      </c>
      <c r="I29" s="25">
        <f>64.63312+12.02417</f>
        <v>76.657290000000003</v>
      </c>
      <c r="J29" s="25">
        <v>65</v>
      </c>
      <c r="K29" s="25">
        <v>74</v>
      </c>
      <c r="L29" s="25">
        <f>80.99856-7.33059</f>
        <v>73.667969999999997</v>
      </c>
      <c r="M29" s="25">
        <v>65</v>
      </c>
      <c r="N29" s="25">
        <v>65</v>
      </c>
      <c r="O29" s="25">
        <v>65</v>
      </c>
      <c r="P29" s="25">
        <f>54.49812+0.31688</f>
        <v>54.814999999999998</v>
      </c>
      <c r="Q29" s="25">
        <f>54.49812+0.31688</f>
        <v>54.814999999999998</v>
      </c>
      <c r="R29" s="25">
        <v>55</v>
      </c>
      <c r="S29" s="25">
        <v>785</v>
      </c>
      <c r="T29" s="25">
        <f>778.50683+4.26091+2</f>
        <v>784.76774</v>
      </c>
      <c r="U29" s="25">
        <v>784.76774</v>
      </c>
      <c r="V29" s="25">
        <v>320</v>
      </c>
      <c r="W29" s="25">
        <v>990.4</v>
      </c>
      <c r="X29" s="25">
        <v>991.35937000000001</v>
      </c>
      <c r="Y29" s="25">
        <v>891.26621</v>
      </c>
      <c r="Z29" s="25">
        <v>482</v>
      </c>
      <c r="AA29" s="25">
        <v>461.3</v>
      </c>
      <c r="AB29" s="25">
        <f>514.343+32.9154</f>
        <v>547.25839999999994</v>
      </c>
      <c r="AC29" s="25">
        <v>587.34355000000005</v>
      </c>
      <c r="AD29" s="25">
        <v>683</v>
      </c>
      <c r="AE29" s="25">
        <v>514</v>
      </c>
      <c r="AF29" s="25">
        <v>555.67566999999997</v>
      </c>
      <c r="AG29" s="25">
        <v>554.93598999999995</v>
      </c>
      <c r="AH29" s="25">
        <v>639.79999999999995</v>
      </c>
      <c r="AI29" s="25">
        <v>642</v>
      </c>
      <c r="AJ29" s="25">
        <v>648</v>
      </c>
      <c r="AK29" s="25">
        <v>318</v>
      </c>
      <c r="AL29" s="25">
        <v>231.15287000000001</v>
      </c>
      <c r="AM29" s="25">
        <v>554.93568000000005</v>
      </c>
      <c r="AN29" s="25">
        <v>555.70000000000005</v>
      </c>
      <c r="AO29" s="25">
        <v>555.70000000000005</v>
      </c>
      <c r="AP29" s="25">
        <v>555.70000000000005</v>
      </c>
      <c r="AQ29" s="25"/>
      <c r="AR29" s="25"/>
      <c r="AS29" s="25"/>
      <c r="AT29" s="25">
        <v>344.3</v>
      </c>
      <c r="AU29" s="25">
        <v>925.7</v>
      </c>
      <c r="AV29" s="25">
        <f>913.52942+13.69826</f>
        <v>927.22767999999996</v>
      </c>
      <c r="AW29" s="25">
        <v>571.48896999999999</v>
      </c>
      <c r="AX29" s="25">
        <v>536</v>
      </c>
      <c r="AY29" s="25">
        <v>538</v>
      </c>
      <c r="AZ29" s="25">
        <v>540</v>
      </c>
      <c r="BA29" s="25">
        <v>536</v>
      </c>
      <c r="BB29" s="25">
        <v>536</v>
      </c>
      <c r="BC29" s="25">
        <v>536</v>
      </c>
      <c r="BD29" s="25">
        <v>702</v>
      </c>
      <c r="BE29" s="25">
        <v>741.89428999999996</v>
      </c>
      <c r="BF29" s="25">
        <v>555.89389000000006</v>
      </c>
      <c r="BG29" s="25">
        <v>518</v>
      </c>
      <c r="BH29" s="25">
        <v>520</v>
      </c>
      <c r="BI29" s="25">
        <v>525</v>
      </c>
      <c r="BJ29" s="20">
        <v>518</v>
      </c>
      <c r="BK29" s="27">
        <v>518</v>
      </c>
      <c r="BL29" s="25">
        <v>415.9</v>
      </c>
      <c r="BM29" s="20">
        <f t="shared" si="6"/>
        <v>-102.10000000000002</v>
      </c>
      <c r="BN29" s="20">
        <f t="shared" si="7"/>
        <v>80.289575289575282</v>
      </c>
      <c r="BO29" s="25">
        <v>518</v>
      </c>
      <c r="BP29" s="25">
        <v>435.28104000000002</v>
      </c>
      <c r="BQ29" s="25"/>
      <c r="BR29" s="25">
        <f t="shared" si="30"/>
        <v>84.031088803088807</v>
      </c>
      <c r="BS29" s="25">
        <f t="shared" si="31"/>
        <v>104.66002404424142</v>
      </c>
      <c r="BT29" s="25">
        <f t="shared" si="32"/>
        <v>58.671571660161995</v>
      </c>
    </row>
    <row r="30" spans="1:72" ht="22.5" hidden="1" customHeight="1" x14ac:dyDescent="0.25">
      <c r="A30" s="10" t="s">
        <v>122</v>
      </c>
      <c r="B30" s="38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>
        <v>-4.1947700000000001</v>
      </c>
      <c r="AN30" s="25"/>
      <c r="AO30" s="25"/>
      <c r="AP30" s="25"/>
      <c r="AQ30" s="25"/>
      <c r="AR30" s="25"/>
      <c r="AS30" s="25"/>
      <c r="AT30" s="25"/>
      <c r="AU30" s="25"/>
      <c r="AV30" s="25"/>
      <c r="AW30" s="25">
        <v>0</v>
      </c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0"/>
      <c r="BK30" s="27"/>
      <c r="BL30" s="25"/>
      <c r="BM30" s="20">
        <f t="shared" si="6"/>
        <v>0</v>
      </c>
      <c r="BN30" s="20" t="e">
        <f t="shared" si="7"/>
        <v>#DIV/0!</v>
      </c>
      <c r="BO30" s="25"/>
      <c r="BP30" s="25"/>
      <c r="BQ30" s="25"/>
      <c r="BR30" s="25" t="e">
        <f t="shared" si="30"/>
        <v>#DIV/0!</v>
      </c>
      <c r="BS30" s="25" t="e">
        <f t="shared" si="31"/>
        <v>#DIV/0!</v>
      </c>
      <c r="BT30" s="25" t="e">
        <f t="shared" si="32"/>
        <v>#DIV/0!</v>
      </c>
    </row>
    <row r="31" spans="1:72" ht="22.5" hidden="1" customHeight="1" x14ac:dyDescent="0.25">
      <c r="A31" s="10" t="s">
        <v>123</v>
      </c>
      <c r="B31" s="38" t="s">
        <v>124</v>
      </c>
      <c r="C31" s="25">
        <v>41.445239999999998</v>
      </c>
      <c r="D31" s="25">
        <v>109</v>
      </c>
      <c r="E31" s="25">
        <v>109</v>
      </c>
      <c r="F31" s="25">
        <f>59.64011+0.53558+3.4+0.05508</f>
        <v>63.630769999999998</v>
      </c>
      <c r="G31" s="25">
        <v>112</v>
      </c>
      <c r="H31" s="25">
        <v>82</v>
      </c>
      <c r="I31" s="25">
        <f>70.28456+7.32401+5</f>
        <v>82.60857</v>
      </c>
      <c r="J31" s="25">
        <v>72</v>
      </c>
      <c r="K31" s="25">
        <v>57</v>
      </c>
      <c r="L31" s="25">
        <f>29.89935+0.30887+11.3124</f>
        <v>41.520619999999994</v>
      </c>
      <c r="M31" s="25">
        <f>29.89935+0.30887+11.3124</f>
        <v>41.520619999999994</v>
      </c>
      <c r="N31" s="25">
        <v>107</v>
      </c>
      <c r="O31" s="25">
        <v>107</v>
      </c>
      <c r="P31" s="25">
        <f>0.31688+292.83273+14.98674</f>
        <v>308.13635000000005</v>
      </c>
      <c r="Q31" s="25">
        <f>0.31688+292.83273+14.98674</f>
        <v>308.13635000000005</v>
      </c>
      <c r="R31" s="25">
        <v>90</v>
      </c>
      <c r="S31" s="25">
        <v>218.4</v>
      </c>
      <c r="T31" s="25">
        <f>-1.36/1000+199.55109+6.52082+1.0474+11.70366</f>
        <v>218.82160999999996</v>
      </c>
      <c r="U31" s="25">
        <v>218.82160999999999</v>
      </c>
      <c r="V31" s="25">
        <v>340</v>
      </c>
      <c r="W31" s="25">
        <v>491</v>
      </c>
      <c r="X31" s="25">
        <v>497.18346000000003</v>
      </c>
      <c r="Y31" s="25">
        <v>454.42534999999998</v>
      </c>
      <c r="Z31" s="25">
        <v>263</v>
      </c>
      <c r="AA31" s="25">
        <v>377</v>
      </c>
      <c r="AB31" s="25">
        <f>398.17367+6.23097+0.021</f>
        <v>404.42564000000004</v>
      </c>
      <c r="AC31" s="25">
        <v>352.84287</v>
      </c>
      <c r="AD31" s="25">
        <v>367</v>
      </c>
      <c r="AE31" s="25">
        <v>321</v>
      </c>
      <c r="AF31" s="25">
        <v>341.42403000000002</v>
      </c>
      <c r="AG31" s="25">
        <v>352.01132999999999</v>
      </c>
      <c r="AH31" s="25">
        <v>369</v>
      </c>
      <c r="AI31" s="25">
        <v>370</v>
      </c>
      <c r="AJ31" s="25">
        <v>372</v>
      </c>
      <c r="AK31" s="25">
        <v>231.2</v>
      </c>
      <c r="AL31" s="25">
        <v>334.37427000000002</v>
      </c>
      <c r="AM31" s="25">
        <v>195.36069000000001</v>
      </c>
      <c r="AN31" s="25">
        <v>344.3</v>
      </c>
      <c r="AO31" s="25">
        <v>344.3</v>
      </c>
      <c r="AP31" s="25">
        <v>344.3</v>
      </c>
      <c r="AQ31" s="25"/>
      <c r="AR31" s="25"/>
      <c r="AS31" s="25"/>
      <c r="AT31" s="25">
        <v>555.70000000000005</v>
      </c>
      <c r="AU31" s="25">
        <v>220.3</v>
      </c>
      <c r="AV31" s="25">
        <f>232.32768-3.41715</f>
        <v>228.91052999999999</v>
      </c>
      <c r="AW31" s="25">
        <v>339.08694000000003</v>
      </c>
      <c r="AX31" s="25">
        <v>334</v>
      </c>
      <c r="AY31" s="25">
        <v>337</v>
      </c>
      <c r="AZ31" s="25">
        <v>340</v>
      </c>
      <c r="BA31" s="25">
        <v>334</v>
      </c>
      <c r="BB31" s="25">
        <v>334</v>
      </c>
      <c r="BC31" s="25">
        <v>334</v>
      </c>
      <c r="BD31" s="25">
        <v>264</v>
      </c>
      <c r="BE31" s="25">
        <v>284.60237000000001</v>
      </c>
      <c r="BF31" s="25">
        <v>321.75785000000002</v>
      </c>
      <c r="BG31" s="25">
        <v>292</v>
      </c>
      <c r="BH31" s="25">
        <v>300</v>
      </c>
      <c r="BI31" s="25">
        <v>300</v>
      </c>
      <c r="BJ31" s="20">
        <v>292</v>
      </c>
      <c r="BK31" s="27">
        <v>292</v>
      </c>
      <c r="BL31" s="25">
        <v>292</v>
      </c>
      <c r="BM31" s="20">
        <f t="shared" si="6"/>
        <v>0</v>
      </c>
      <c r="BN31" s="20">
        <f t="shared" si="7"/>
        <v>100</v>
      </c>
      <c r="BO31" s="25">
        <v>292</v>
      </c>
      <c r="BP31" s="25">
        <v>325.41422</v>
      </c>
      <c r="BQ31" s="25"/>
      <c r="BR31" s="25">
        <f t="shared" si="30"/>
        <v>111.44322602739727</v>
      </c>
      <c r="BS31" s="25">
        <f t="shared" si="31"/>
        <v>111.44322602739727</v>
      </c>
      <c r="BT31" s="25">
        <f t="shared" si="32"/>
        <v>114.33995437212978</v>
      </c>
    </row>
    <row r="32" spans="1:72" ht="22.5" hidden="1" customHeight="1" x14ac:dyDescent="0.25">
      <c r="A32" s="10"/>
      <c r="B32" s="38" t="s">
        <v>111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>
        <v>-154.69315</v>
      </c>
      <c r="AD32" s="25"/>
      <c r="AE32" s="25"/>
      <c r="AF32" s="25"/>
      <c r="AG32" s="25">
        <v>-13.29058</v>
      </c>
      <c r="AH32" s="25"/>
      <c r="AI32" s="25"/>
      <c r="AJ32" s="25"/>
      <c r="AK32" s="25"/>
      <c r="AL32" s="25"/>
      <c r="AM32" s="25">
        <v>-12.069559999999999</v>
      </c>
      <c r="AN32" s="25"/>
      <c r="AO32" s="25"/>
      <c r="AP32" s="25"/>
      <c r="AQ32" s="25"/>
      <c r="AR32" s="25"/>
      <c r="AS32" s="25"/>
      <c r="AT32" s="25"/>
      <c r="AU32" s="25"/>
      <c r="AV32" s="25"/>
      <c r="AW32" s="25">
        <v>-13.69693</v>
      </c>
      <c r="AX32" s="25"/>
      <c r="AY32" s="25"/>
      <c r="AZ32" s="25"/>
      <c r="BA32" s="25"/>
      <c r="BB32" s="25"/>
      <c r="BC32" s="25"/>
      <c r="BD32" s="25"/>
      <c r="BE32" s="25"/>
      <c r="BF32" s="25">
        <v>-6.6611599999999997</v>
      </c>
      <c r="BG32" s="25"/>
      <c r="BH32" s="25"/>
      <c r="BI32" s="25"/>
      <c r="BJ32" s="20"/>
      <c r="BK32" s="27"/>
      <c r="BL32" s="25"/>
      <c r="BM32" s="20">
        <f t="shared" si="6"/>
        <v>0</v>
      </c>
      <c r="BN32" s="20" t="e">
        <f t="shared" si="7"/>
        <v>#DIV/0!</v>
      </c>
      <c r="BO32" s="25"/>
      <c r="BP32" s="25"/>
      <c r="BQ32" s="25"/>
      <c r="BR32" s="25" t="e">
        <f t="shared" si="30"/>
        <v>#DIV/0!</v>
      </c>
      <c r="BS32" s="25" t="e">
        <f t="shared" si="31"/>
        <v>#DIV/0!</v>
      </c>
      <c r="BT32" s="25" t="e">
        <f t="shared" si="32"/>
        <v>#DIV/0!</v>
      </c>
    </row>
    <row r="33" spans="1:72" ht="16.5" customHeight="1" x14ac:dyDescent="0.25">
      <c r="A33" s="18" t="s">
        <v>125</v>
      </c>
      <c r="B33" s="19" t="s">
        <v>126</v>
      </c>
      <c r="C33" s="20">
        <f t="shared" ref="C33:AP33" si="40">C34+C35</f>
        <v>142.42343</v>
      </c>
      <c r="D33" s="20">
        <f t="shared" si="40"/>
        <v>118</v>
      </c>
      <c r="E33" s="20">
        <f t="shared" si="40"/>
        <v>144</v>
      </c>
      <c r="F33" s="20">
        <f t="shared" si="40"/>
        <v>138.09</v>
      </c>
      <c r="G33" s="20">
        <f t="shared" si="40"/>
        <v>120</v>
      </c>
      <c r="H33" s="20">
        <f t="shared" si="40"/>
        <v>148.80000000000001</v>
      </c>
      <c r="I33" s="20">
        <f t="shared" si="40"/>
        <v>163.16</v>
      </c>
      <c r="J33" s="20">
        <f t="shared" si="40"/>
        <v>123</v>
      </c>
      <c r="K33" s="20">
        <f t="shared" si="40"/>
        <v>154</v>
      </c>
      <c r="L33" s="20">
        <f t="shared" si="40"/>
        <v>154.15</v>
      </c>
      <c r="M33" s="20">
        <f t="shared" si="40"/>
        <v>154.15</v>
      </c>
      <c r="N33" s="20">
        <f t="shared" si="40"/>
        <v>158.69999999999999</v>
      </c>
      <c r="O33" s="20">
        <f t="shared" si="40"/>
        <v>158.69999999999999</v>
      </c>
      <c r="P33" s="20">
        <f t="shared" si="40"/>
        <v>160.15</v>
      </c>
      <c r="Q33" s="20">
        <f t="shared" si="40"/>
        <v>160.15</v>
      </c>
      <c r="R33" s="20">
        <f t="shared" si="40"/>
        <v>160</v>
      </c>
      <c r="S33" s="20">
        <f t="shared" si="40"/>
        <v>124.1</v>
      </c>
      <c r="T33" s="20">
        <f t="shared" si="40"/>
        <v>127</v>
      </c>
      <c r="U33" s="20">
        <f t="shared" si="40"/>
        <v>127</v>
      </c>
      <c r="V33" s="20">
        <f t="shared" si="40"/>
        <v>161</v>
      </c>
      <c r="W33" s="20">
        <f t="shared" si="40"/>
        <v>155.19999999999999</v>
      </c>
      <c r="X33" s="20">
        <f t="shared" si="40"/>
        <v>161.06</v>
      </c>
      <c r="Y33" s="20">
        <f t="shared" si="40"/>
        <v>161.06</v>
      </c>
      <c r="Z33" s="20">
        <f t="shared" si="40"/>
        <v>132</v>
      </c>
      <c r="AA33" s="20">
        <f t="shared" si="40"/>
        <v>132</v>
      </c>
      <c r="AB33" s="20">
        <f t="shared" si="40"/>
        <v>139.67500000000001</v>
      </c>
      <c r="AC33" s="20">
        <f t="shared" si="40"/>
        <v>139.67500000000001</v>
      </c>
      <c r="AD33" s="20">
        <f t="shared" si="40"/>
        <v>145.1</v>
      </c>
      <c r="AE33" s="20">
        <f t="shared" si="40"/>
        <v>80.099999999999994</v>
      </c>
      <c r="AF33" s="20">
        <f t="shared" si="40"/>
        <v>83.87</v>
      </c>
      <c r="AG33" s="20">
        <f t="shared" si="40"/>
        <v>83.87</v>
      </c>
      <c r="AH33" s="20">
        <f t="shared" si="40"/>
        <v>148.6</v>
      </c>
      <c r="AI33" s="20">
        <f t="shared" si="40"/>
        <v>148.6</v>
      </c>
      <c r="AJ33" s="20">
        <f t="shared" si="40"/>
        <v>148.6</v>
      </c>
      <c r="AK33" s="20">
        <f t="shared" si="40"/>
        <v>63.6</v>
      </c>
      <c r="AL33" s="20">
        <f t="shared" si="40"/>
        <v>63.965000000000003</v>
      </c>
      <c r="AM33" s="20">
        <f t="shared" si="40"/>
        <v>63.965000000000003</v>
      </c>
      <c r="AN33" s="20">
        <f t="shared" si="40"/>
        <v>67</v>
      </c>
      <c r="AO33" s="20">
        <f t="shared" si="40"/>
        <v>70</v>
      </c>
      <c r="AP33" s="20">
        <f t="shared" si="40"/>
        <v>73</v>
      </c>
      <c r="AQ33" s="20">
        <v>67</v>
      </c>
      <c r="AR33" s="20">
        <v>67</v>
      </c>
      <c r="AS33" s="20">
        <v>76.599999999999994</v>
      </c>
      <c r="AT33" s="20">
        <f>AT34+AT35</f>
        <v>76.599999999999994</v>
      </c>
      <c r="AU33" s="20">
        <f>AU34+AU35</f>
        <v>105.89999999999999</v>
      </c>
      <c r="AV33" s="20">
        <f>AV34+AV35</f>
        <v>114.02199999999999</v>
      </c>
      <c r="AW33" s="20">
        <f>AW34+AW35</f>
        <v>114.02199999999999</v>
      </c>
      <c r="AX33" s="20">
        <f t="shared" ref="AX33" si="41">AX34+AX35</f>
        <v>67.099999999999994</v>
      </c>
      <c r="AY33" s="20">
        <f>AY34+AY35</f>
        <v>67.099999999999994</v>
      </c>
      <c r="AZ33" s="20">
        <f>AZ34+AZ35</f>
        <v>67.099999999999994</v>
      </c>
      <c r="BA33" s="20">
        <v>67.099999999999994</v>
      </c>
      <c r="BB33" s="20">
        <v>67.099999999999994</v>
      </c>
      <c r="BC33" s="20">
        <v>67.099999999999994</v>
      </c>
      <c r="BD33" s="20">
        <v>67.099999999999994</v>
      </c>
      <c r="BE33" s="20">
        <f>BE34+BE35</f>
        <v>73.5</v>
      </c>
      <c r="BF33" s="20">
        <f>BF34+BF35</f>
        <v>73.5</v>
      </c>
      <c r="BG33" s="20">
        <f t="shared" ref="BG33" si="42">BG34+BG35</f>
        <v>71.7</v>
      </c>
      <c r="BH33" s="20">
        <f>BH34+BH35</f>
        <v>76.099999999999994</v>
      </c>
      <c r="BI33" s="20">
        <f>BI34+BI35</f>
        <v>71.7</v>
      </c>
      <c r="BJ33" s="20">
        <f t="shared" ref="BJ33:BO33" si="43">BJ34+BJ35</f>
        <v>71.7</v>
      </c>
      <c r="BK33" s="20">
        <f t="shared" si="43"/>
        <v>71.7</v>
      </c>
      <c r="BL33" s="20">
        <f t="shared" si="43"/>
        <v>61.7</v>
      </c>
      <c r="BM33" s="20">
        <f t="shared" si="6"/>
        <v>-10</v>
      </c>
      <c r="BN33" s="20">
        <f t="shared" si="7"/>
        <v>86.052998605299862</v>
      </c>
      <c r="BO33" s="20">
        <f t="shared" si="43"/>
        <v>61.7</v>
      </c>
      <c r="BP33" s="20">
        <f>BP34+BP35</f>
        <v>67.099999999999994</v>
      </c>
      <c r="BQ33" s="20">
        <f>BQ34+BQ35</f>
        <v>67.099999999999994</v>
      </c>
      <c r="BR33" s="20">
        <f t="shared" si="30"/>
        <v>93.584379358437914</v>
      </c>
      <c r="BS33" s="20">
        <f t="shared" si="31"/>
        <v>108.75202593192867</v>
      </c>
      <c r="BT33" s="20">
        <f t="shared" si="32"/>
        <v>91.292517006802711</v>
      </c>
    </row>
    <row r="34" spans="1:72" ht="22.5" hidden="1" customHeight="1" x14ac:dyDescent="0.25">
      <c r="A34" s="10" t="s">
        <v>127</v>
      </c>
      <c r="B34" s="38" t="s">
        <v>128</v>
      </c>
      <c r="C34" s="25">
        <v>142.42343</v>
      </c>
      <c r="D34" s="25">
        <v>118</v>
      </c>
      <c r="E34" s="25">
        <v>143</v>
      </c>
      <c r="F34" s="25">
        <v>137.09</v>
      </c>
      <c r="G34" s="25">
        <v>120</v>
      </c>
      <c r="H34" s="25">
        <v>148.80000000000001</v>
      </c>
      <c r="I34" s="25">
        <v>163.16</v>
      </c>
      <c r="J34" s="25">
        <v>123</v>
      </c>
      <c r="K34" s="25">
        <v>154</v>
      </c>
      <c r="L34" s="25">
        <v>154.15</v>
      </c>
      <c r="M34" s="25">
        <v>154.15</v>
      </c>
      <c r="N34" s="25">
        <v>158.69999999999999</v>
      </c>
      <c r="O34" s="25">
        <v>158.69999999999999</v>
      </c>
      <c r="P34" s="25">
        <v>160.15</v>
      </c>
      <c r="Q34" s="25">
        <v>160.15</v>
      </c>
      <c r="R34" s="25">
        <v>160</v>
      </c>
      <c r="S34" s="25">
        <v>124.1</v>
      </c>
      <c r="T34" s="25">
        <v>127</v>
      </c>
      <c r="U34" s="25">
        <v>127</v>
      </c>
      <c r="V34" s="25">
        <v>161</v>
      </c>
      <c r="W34" s="25">
        <v>155.19999999999999</v>
      </c>
      <c r="X34" s="25">
        <v>161.06</v>
      </c>
      <c r="Y34" s="25">
        <v>161.06</v>
      </c>
      <c r="Z34" s="25">
        <v>132</v>
      </c>
      <c r="AA34" s="25">
        <v>132</v>
      </c>
      <c r="AB34" s="25">
        <v>139.67500000000001</v>
      </c>
      <c r="AC34" s="25">
        <v>139.67500000000001</v>
      </c>
      <c r="AD34" s="25">
        <v>145.1</v>
      </c>
      <c r="AE34" s="25">
        <v>80.099999999999994</v>
      </c>
      <c r="AF34" s="25">
        <v>83.87</v>
      </c>
      <c r="AG34" s="25">
        <v>83.87</v>
      </c>
      <c r="AH34" s="25">
        <v>148.6</v>
      </c>
      <c r="AI34" s="25">
        <v>148.6</v>
      </c>
      <c r="AJ34" s="25">
        <v>148.6</v>
      </c>
      <c r="AK34" s="25">
        <v>63.6</v>
      </c>
      <c r="AL34" s="25">
        <v>63.965000000000003</v>
      </c>
      <c r="AM34" s="25">
        <v>63.965000000000003</v>
      </c>
      <c r="AN34" s="25">
        <v>67</v>
      </c>
      <c r="AO34" s="25">
        <v>70</v>
      </c>
      <c r="AP34" s="25">
        <v>73</v>
      </c>
      <c r="AQ34" s="25">
        <v>75</v>
      </c>
      <c r="AR34" s="25">
        <v>76</v>
      </c>
      <c r="AS34" s="25"/>
      <c r="AT34" s="25">
        <v>67</v>
      </c>
      <c r="AU34" s="25">
        <v>96.3</v>
      </c>
      <c r="AV34" s="25">
        <v>104.422</v>
      </c>
      <c r="AW34" s="25">
        <v>104.422</v>
      </c>
      <c r="AX34" s="25">
        <v>67.099999999999994</v>
      </c>
      <c r="AY34" s="25">
        <v>67.099999999999994</v>
      </c>
      <c r="AZ34" s="25">
        <v>67.099999999999994</v>
      </c>
      <c r="BA34" s="25">
        <v>68.099999999999994</v>
      </c>
      <c r="BB34" s="25">
        <v>69.099999999999994</v>
      </c>
      <c r="BC34" s="25">
        <v>67.099999999999994</v>
      </c>
      <c r="BD34" s="25">
        <v>67.099999999999994</v>
      </c>
      <c r="BE34" s="25">
        <v>73.5</v>
      </c>
      <c r="BF34" s="25">
        <v>73.5</v>
      </c>
      <c r="BG34" s="25">
        <v>71.7</v>
      </c>
      <c r="BH34" s="25">
        <v>76.099999999999994</v>
      </c>
      <c r="BI34" s="25">
        <v>71.7</v>
      </c>
      <c r="BJ34" s="20">
        <v>71.7</v>
      </c>
      <c r="BK34" s="27">
        <v>71.7</v>
      </c>
      <c r="BL34" s="25">
        <v>61.7</v>
      </c>
      <c r="BM34" s="20">
        <f t="shared" si="6"/>
        <v>-10</v>
      </c>
      <c r="BN34" s="20">
        <f t="shared" si="7"/>
        <v>86.052998605299862</v>
      </c>
      <c r="BO34" s="25">
        <v>61.7</v>
      </c>
      <c r="BP34" s="25">
        <v>67.099999999999994</v>
      </c>
      <c r="BQ34" s="25">
        <v>67.099999999999994</v>
      </c>
      <c r="BR34" s="25">
        <f t="shared" si="30"/>
        <v>93.584379358437914</v>
      </c>
      <c r="BS34" s="25">
        <f t="shared" si="31"/>
        <v>108.75202593192867</v>
      </c>
      <c r="BT34" s="25">
        <f t="shared" si="32"/>
        <v>91.292517006802711</v>
      </c>
    </row>
    <row r="35" spans="1:72" ht="22.5" hidden="1" customHeight="1" x14ac:dyDescent="0.25">
      <c r="A35" s="10" t="s">
        <v>129</v>
      </c>
      <c r="B35" s="38" t="s">
        <v>130</v>
      </c>
      <c r="C35" s="25"/>
      <c r="D35" s="25"/>
      <c r="E35" s="25">
        <v>1</v>
      </c>
      <c r="F35" s="25">
        <v>1</v>
      </c>
      <c r="G35" s="25"/>
      <c r="H35" s="25">
        <v>0</v>
      </c>
      <c r="I35" s="25"/>
      <c r="J35" s="25"/>
      <c r="K35" s="25">
        <v>0</v>
      </c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>
        <v>9.6</v>
      </c>
      <c r="AT35" s="25">
        <v>9.6</v>
      </c>
      <c r="AU35" s="25">
        <v>9.6</v>
      </c>
      <c r="AV35" s="25">
        <v>9.6</v>
      </c>
      <c r="AW35" s="25">
        <v>9.6</v>
      </c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0"/>
      <c r="BK35" s="27"/>
      <c r="BL35" s="25"/>
      <c r="BM35" s="20">
        <f t="shared" si="6"/>
        <v>0</v>
      </c>
      <c r="BN35" s="20" t="e">
        <f t="shared" si="7"/>
        <v>#DIV/0!</v>
      </c>
      <c r="BO35" s="25"/>
      <c r="BP35" s="25"/>
      <c r="BQ35" s="25"/>
      <c r="BR35" s="25" t="e">
        <f t="shared" si="30"/>
        <v>#DIV/0!</v>
      </c>
      <c r="BS35" s="25" t="e">
        <f t="shared" si="31"/>
        <v>#DIV/0!</v>
      </c>
      <c r="BT35" s="25" t="e">
        <f t="shared" si="32"/>
        <v>#DIV/0!</v>
      </c>
    </row>
    <row r="36" spans="1:72" s="23" customFormat="1" ht="21" customHeight="1" x14ac:dyDescent="0.25">
      <c r="A36" s="18"/>
      <c r="B36" s="19" t="s">
        <v>131</v>
      </c>
      <c r="C36" s="20">
        <f t="shared" ref="C36:AU36" si="44">C38+C45+C49+C54+C63</f>
        <v>4280.3270300000004</v>
      </c>
      <c r="D36" s="20">
        <f t="shared" si="44"/>
        <v>1858</v>
      </c>
      <c r="E36" s="20">
        <f t="shared" si="44"/>
        <v>1401</v>
      </c>
      <c r="F36" s="20">
        <f t="shared" si="44"/>
        <v>1301.34817</v>
      </c>
      <c r="G36" s="20">
        <f t="shared" si="44"/>
        <v>1110</v>
      </c>
      <c r="H36" s="20">
        <f t="shared" si="44"/>
        <v>1034.7</v>
      </c>
      <c r="I36" s="20">
        <f t="shared" si="44"/>
        <v>958.79902000000004</v>
      </c>
      <c r="J36" s="20">
        <f t="shared" si="44"/>
        <v>941.5</v>
      </c>
      <c r="K36" s="20">
        <f t="shared" si="44"/>
        <v>1228.5</v>
      </c>
      <c r="L36" s="20">
        <f t="shared" si="44"/>
        <v>1186.2139299999999</v>
      </c>
      <c r="M36" s="20">
        <f t="shared" si="44"/>
        <v>1186.2139299999999</v>
      </c>
      <c r="N36" s="20">
        <f t="shared" si="44"/>
        <v>1368.6</v>
      </c>
      <c r="O36" s="20">
        <f t="shared" si="44"/>
        <v>469.6</v>
      </c>
      <c r="P36" s="20">
        <f t="shared" si="44"/>
        <v>217.67254000000003</v>
      </c>
      <c r="Q36" s="20">
        <f t="shared" si="44"/>
        <v>-43683.19627</v>
      </c>
      <c r="R36" s="20">
        <f t="shared" si="44"/>
        <v>145</v>
      </c>
      <c r="S36" s="20">
        <f t="shared" si="44"/>
        <v>676.5</v>
      </c>
      <c r="T36" s="20">
        <f t="shared" si="44"/>
        <v>676.51172000000008</v>
      </c>
      <c r="U36" s="20">
        <f t="shared" si="44"/>
        <v>-7869.8074799999995</v>
      </c>
      <c r="V36" s="20">
        <f t="shared" si="44"/>
        <v>156</v>
      </c>
      <c r="W36" s="20">
        <f t="shared" si="44"/>
        <v>357.8</v>
      </c>
      <c r="X36" s="20">
        <f t="shared" si="44"/>
        <v>387.339</v>
      </c>
      <c r="Y36" s="20">
        <f t="shared" si="44"/>
        <v>357.05500999999998</v>
      </c>
      <c r="Z36" s="20">
        <f t="shared" si="44"/>
        <v>160</v>
      </c>
      <c r="AA36" s="20">
        <f t="shared" si="44"/>
        <v>1084.3999999999999</v>
      </c>
      <c r="AB36" s="20">
        <f t="shared" si="44"/>
        <v>1141.6009299999998</v>
      </c>
      <c r="AC36" s="20">
        <f t="shared" si="44"/>
        <v>3231.3117899999997</v>
      </c>
      <c r="AD36" s="20">
        <f t="shared" si="44"/>
        <v>166.8</v>
      </c>
      <c r="AE36" s="20">
        <f t="shared" si="44"/>
        <v>1182.9000000000001</v>
      </c>
      <c r="AF36" s="20">
        <f t="shared" si="44"/>
        <v>1231.31305</v>
      </c>
      <c r="AG36" s="20">
        <f t="shared" si="44"/>
        <v>-30961.468920000003</v>
      </c>
      <c r="AH36" s="20">
        <f t="shared" si="44"/>
        <v>854</v>
      </c>
      <c r="AI36" s="20">
        <f t="shared" si="44"/>
        <v>159.5</v>
      </c>
      <c r="AJ36" s="20">
        <f t="shared" si="44"/>
        <v>159.5</v>
      </c>
      <c r="AK36" s="20">
        <f t="shared" si="44"/>
        <v>2462.5</v>
      </c>
      <c r="AL36" s="20">
        <f t="shared" si="44"/>
        <v>1834.3150699999999</v>
      </c>
      <c r="AM36" s="20">
        <f t="shared" si="44"/>
        <v>80998.769549999997</v>
      </c>
      <c r="AN36" s="20">
        <f t="shared" si="44"/>
        <v>256.3</v>
      </c>
      <c r="AO36" s="20">
        <f t="shared" si="44"/>
        <v>259.3</v>
      </c>
      <c r="AP36" s="20">
        <f t="shared" si="44"/>
        <v>262.3</v>
      </c>
      <c r="AQ36" s="20">
        <f t="shared" si="44"/>
        <v>804.8</v>
      </c>
      <c r="AR36" s="20">
        <f t="shared" si="44"/>
        <v>843.8</v>
      </c>
      <c r="AS36" s="20">
        <f t="shared" si="44"/>
        <v>1243.8</v>
      </c>
      <c r="AT36" s="20">
        <f t="shared" si="44"/>
        <v>1853.8</v>
      </c>
      <c r="AU36" s="20">
        <f t="shared" si="44"/>
        <v>1792.5</v>
      </c>
      <c r="AV36" s="20">
        <f>AV38+AV45+AV49+AV54+AV63</f>
        <v>1993.0226299999999</v>
      </c>
      <c r="AW36" s="20">
        <f>AW38+AW45+AW49+AW54+AW63</f>
        <v>-6066.6409400000011</v>
      </c>
      <c r="AX36" s="20">
        <f t="shared" ref="AX36" si="45">AX38+AX45+AX49+AX54+AX63</f>
        <v>805.90000000000009</v>
      </c>
      <c r="AY36" s="20">
        <f>AY38+AY45+AY49+AY54+AY63</f>
        <v>805.90000000000009</v>
      </c>
      <c r="AZ36" s="20">
        <f>AZ38+AZ45+AZ49+AZ54+AZ63</f>
        <v>805.90000000000009</v>
      </c>
      <c r="BA36" s="20">
        <f t="shared" ref="BA36:BP36" si="46">BA38+BA45+BA49+BA54+BA63</f>
        <v>1305.9000000000001</v>
      </c>
      <c r="BB36" s="20">
        <f t="shared" si="46"/>
        <v>2324</v>
      </c>
      <c r="BC36" s="20">
        <f t="shared" si="46"/>
        <v>2624.1000000000004</v>
      </c>
      <c r="BD36" s="20">
        <f t="shared" si="46"/>
        <v>2558.8000000000002</v>
      </c>
      <c r="BE36" s="20">
        <f t="shared" si="46"/>
        <v>2081.4373000000001</v>
      </c>
      <c r="BF36" s="20">
        <f>BF38+BF45+BF49+BF54+BF63+BF50+BF44</f>
        <v>-23981.633570000002</v>
      </c>
      <c r="BG36" s="20">
        <f t="shared" si="46"/>
        <v>1690.1</v>
      </c>
      <c r="BH36" s="20">
        <f t="shared" si="46"/>
        <v>1787.3</v>
      </c>
      <c r="BI36" s="20">
        <f t="shared" si="46"/>
        <v>1799.5</v>
      </c>
      <c r="BJ36" s="20">
        <f t="shared" si="46"/>
        <v>2198.6999999999998</v>
      </c>
      <c r="BK36" s="20">
        <f t="shared" si="46"/>
        <v>2704.3999999999996</v>
      </c>
      <c r="BL36" s="20">
        <f t="shared" si="46"/>
        <v>2743.7999999999997</v>
      </c>
      <c r="BM36" s="20">
        <f t="shared" si="6"/>
        <v>1053.6999999999998</v>
      </c>
      <c r="BN36" s="20">
        <f t="shared" si="7"/>
        <v>162.3454233477309</v>
      </c>
      <c r="BO36" s="20">
        <f t="shared" si="46"/>
        <v>2735.5999999999995</v>
      </c>
      <c r="BP36" s="20">
        <f t="shared" si="46"/>
        <v>2879.3268600000001</v>
      </c>
      <c r="BQ36" s="20">
        <f>BQ38+BQ45+BQ49+BQ54+BQ63+BQ50+BQ44</f>
        <v>-12621.224690000001</v>
      </c>
      <c r="BR36" s="20">
        <f t="shared" si="30"/>
        <v>170.36428968700079</v>
      </c>
      <c r="BS36" s="20">
        <f t="shared" si="31"/>
        <v>104.93938552372623</v>
      </c>
      <c r="BT36" s="20">
        <f t="shared" si="32"/>
        <v>138.33358612339657</v>
      </c>
    </row>
    <row r="37" spans="1:72" s="23" customFormat="1" ht="17.25" customHeight="1" x14ac:dyDescent="0.25">
      <c r="A37" s="18"/>
      <c r="B37" s="19" t="s">
        <v>80</v>
      </c>
      <c r="C37" s="20">
        <f t="shared" ref="C37:BL37" si="47">C36/C125*100</f>
        <v>9.0002205228294496</v>
      </c>
      <c r="D37" s="20">
        <f t="shared" si="47"/>
        <v>4.7543987144187758</v>
      </c>
      <c r="E37" s="20">
        <f t="shared" si="47"/>
        <v>2.1411443583673506</v>
      </c>
      <c r="F37" s="20">
        <f t="shared" si="47"/>
        <v>2.1224650918180243</v>
      </c>
      <c r="G37" s="20">
        <f t="shared" si="47"/>
        <v>2.5749937944969368</v>
      </c>
      <c r="H37" s="20">
        <f t="shared" si="47"/>
        <v>1.9472600599967631</v>
      </c>
      <c r="I37" s="20">
        <f t="shared" si="47"/>
        <v>1.8324915691822665</v>
      </c>
      <c r="J37" s="20">
        <f t="shared" si="47"/>
        <v>2.168135886736489</v>
      </c>
      <c r="K37" s="20">
        <f t="shared" si="47"/>
        <v>2.4155966730243623</v>
      </c>
      <c r="L37" s="20">
        <f t="shared" si="47"/>
        <v>2.3602955777170744</v>
      </c>
      <c r="M37" s="20">
        <f t="shared" si="47"/>
        <v>0.75862255204926288</v>
      </c>
      <c r="N37" s="20">
        <f t="shared" si="47"/>
        <v>3.0900671253073471</v>
      </c>
      <c r="O37" s="20">
        <f t="shared" si="47"/>
        <v>0.82660193730428499</v>
      </c>
      <c r="P37" s="20">
        <f t="shared" si="47"/>
        <v>0.39340534246339531</v>
      </c>
      <c r="Q37" s="20">
        <f t="shared" si="47"/>
        <v>-26.718511096759535</v>
      </c>
      <c r="R37" s="20">
        <f t="shared" si="47"/>
        <v>0.26399924259527641</v>
      </c>
      <c r="S37" s="20">
        <f t="shared" si="47"/>
        <v>1.1428523161131197</v>
      </c>
      <c r="T37" s="20">
        <f t="shared" si="47"/>
        <v>1.1416925000328171</v>
      </c>
      <c r="U37" s="20">
        <f t="shared" si="47"/>
        <v>-6.283213827394035</v>
      </c>
      <c r="V37" s="20">
        <f t="shared" si="47"/>
        <v>0.32230537923911523</v>
      </c>
      <c r="W37" s="20">
        <f t="shared" si="47"/>
        <v>0.47216808022370577</v>
      </c>
      <c r="X37" s="20">
        <f t="shared" si="47"/>
        <v>0.51064208989397952</v>
      </c>
      <c r="Y37" s="20">
        <f t="shared" si="47"/>
        <v>0.1658553306894284</v>
      </c>
      <c r="Z37" s="20">
        <f t="shared" si="47"/>
        <v>0.33771160949559953</v>
      </c>
      <c r="AA37" s="20">
        <f t="shared" si="47"/>
        <v>1.8683524797537716</v>
      </c>
      <c r="AB37" s="20">
        <f t="shared" si="47"/>
        <v>1.9213493073697658</v>
      </c>
      <c r="AC37" s="20">
        <f t="shared" si="47"/>
        <v>1.3770901158369895</v>
      </c>
      <c r="AD37" s="20">
        <f t="shared" si="47"/>
        <v>0.33595773789907468</v>
      </c>
      <c r="AE37" s="20">
        <f t="shared" si="47"/>
        <v>1.9357784352744032</v>
      </c>
      <c r="AF37" s="20">
        <f t="shared" si="47"/>
        <v>1.9983048929114395</v>
      </c>
      <c r="AG37" s="20">
        <f t="shared" si="47"/>
        <v>-34.691086495299793</v>
      </c>
      <c r="AH37" s="20">
        <f t="shared" si="47"/>
        <v>1.5753143588547451</v>
      </c>
      <c r="AI37" s="20">
        <f t="shared" si="47"/>
        <v>0.29922818633101855</v>
      </c>
      <c r="AJ37" s="20">
        <f t="shared" si="47"/>
        <v>0.29915466575699495</v>
      </c>
      <c r="AK37" s="20">
        <f t="shared" si="47"/>
        <v>2.440392484483068</v>
      </c>
      <c r="AL37" s="20">
        <f t="shared" si="47"/>
        <v>1.8164865022046739</v>
      </c>
      <c r="AM37" s="20">
        <f t="shared" si="47"/>
        <v>30.236018169102607</v>
      </c>
      <c r="AN37" s="20">
        <f t="shared" si="47"/>
        <v>0.49319758709705874</v>
      </c>
      <c r="AO37" s="20">
        <f t="shared" si="47"/>
        <v>0.49891287778625659</v>
      </c>
      <c r="AP37" s="20">
        <f t="shared" si="47"/>
        <v>0.50462684902941635</v>
      </c>
      <c r="AQ37" s="20">
        <f t="shared" si="47"/>
        <v>1.2058121102610895</v>
      </c>
      <c r="AR37" s="20">
        <f t="shared" si="47"/>
        <v>1.1884038375951371</v>
      </c>
      <c r="AS37" s="20">
        <f t="shared" si="47"/>
        <v>1.892398910022046</v>
      </c>
      <c r="AT37" s="20">
        <f t="shared" si="47"/>
        <v>2.6861839321629151</v>
      </c>
      <c r="AU37" s="20">
        <f t="shared" si="47"/>
        <v>2.3507056051050634</v>
      </c>
      <c r="AV37" s="20">
        <f t="shared" si="47"/>
        <v>2.5724502047668341</v>
      </c>
      <c r="AW37" s="20">
        <f t="shared" si="47"/>
        <v>-5.653965611558025</v>
      </c>
      <c r="AX37" s="20">
        <f t="shared" si="47"/>
        <v>1.2157811315753098</v>
      </c>
      <c r="AY37" s="20">
        <f t="shared" si="47"/>
        <v>1.5820448371055169</v>
      </c>
      <c r="AZ37" s="20">
        <f t="shared" si="47"/>
        <v>1.5815387735294295</v>
      </c>
      <c r="BA37" s="20">
        <f t="shared" si="47"/>
        <v>1.8340622393002504</v>
      </c>
      <c r="BB37" s="20">
        <f t="shared" si="47"/>
        <v>2.9878954236601718</v>
      </c>
      <c r="BC37" s="20">
        <f t="shared" si="47"/>
        <v>3.9041496374962619</v>
      </c>
      <c r="BD37" s="20">
        <f t="shared" si="47"/>
        <v>2.7593554746052598</v>
      </c>
      <c r="BE37" s="20">
        <f t="shared" si="47"/>
        <v>2.2201182388228</v>
      </c>
      <c r="BF37" s="20">
        <f t="shared" si="47"/>
        <v>-18.163980323830568</v>
      </c>
      <c r="BG37" s="20">
        <f t="shared" si="47"/>
        <v>2.5974045130572088</v>
      </c>
      <c r="BH37" s="20">
        <f t="shared" si="47"/>
        <v>3.1061005213052462</v>
      </c>
      <c r="BI37" s="20">
        <f t="shared" si="47"/>
        <v>3.125993320966364</v>
      </c>
      <c r="BJ37" s="21">
        <f t="shared" si="47"/>
        <v>3.2640354861983267</v>
      </c>
      <c r="BK37" s="22">
        <f t="shared" si="47"/>
        <v>3.0900365630712976</v>
      </c>
      <c r="BL37" s="20">
        <f t="shared" si="47"/>
        <v>2.6448533898329587</v>
      </c>
      <c r="BM37" s="20"/>
      <c r="BN37" s="20"/>
      <c r="BO37" s="20">
        <f>BO36/BO125*100</f>
        <v>2.6741820080696064</v>
      </c>
      <c r="BP37" s="20">
        <f>BP36/BP125*100</f>
        <v>2.7076378225262556</v>
      </c>
      <c r="BQ37" s="20">
        <f>BQ36/BQ125*100</f>
        <v>-12.339220532265751</v>
      </c>
      <c r="BR37" s="20"/>
      <c r="BS37" s="20"/>
      <c r="BT37" s="20"/>
    </row>
    <row r="38" spans="1:72" ht="39.75" customHeight="1" x14ac:dyDescent="0.25">
      <c r="A38" s="18" t="s">
        <v>132</v>
      </c>
      <c r="B38" s="19" t="s">
        <v>133</v>
      </c>
      <c r="C38" s="20">
        <f t="shared" ref="C38:U38" si="48">C39+C43</f>
        <v>2051.9010800000001</v>
      </c>
      <c r="D38" s="20">
        <f t="shared" si="48"/>
        <v>1858</v>
      </c>
      <c r="E38" s="20">
        <f t="shared" si="48"/>
        <v>261.2</v>
      </c>
      <c r="F38" s="20">
        <f t="shared" si="48"/>
        <v>157.93666999999999</v>
      </c>
      <c r="G38" s="20">
        <f t="shared" si="48"/>
        <v>1102</v>
      </c>
      <c r="H38" s="20">
        <f t="shared" si="48"/>
        <v>953.2</v>
      </c>
      <c r="I38" s="20">
        <f t="shared" si="48"/>
        <v>876.95874000000003</v>
      </c>
      <c r="J38" s="20">
        <f t="shared" si="48"/>
        <v>870.5</v>
      </c>
      <c r="K38" s="20">
        <f t="shared" si="48"/>
        <v>981.5</v>
      </c>
      <c r="L38" s="20">
        <f t="shared" si="48"/>
        <v>939.90006000000005</v>
      </c>
      <c r="M38" s="20">
        <f t="shared" si="48"/>
        <v>939.90006000000005</v>
      </c>
      <c r="N38" s="20">
        <f t="shared" si="48"/>
        <v>1297.5999999999999</v>
      </c>
      <c r="O38" s="20">
        <f t="shared" si="48"/>
        <v>469.6</v>
      </c>
      <c r="P38" s="20">
        <f t="shared" si="48"/>
        <v>155.59934000000001</v>
      </c>
      <c r="Q38" s="20">
        <f t="shared" si="48"/>
        <v>155.59934000000001</v>
      </c>
      <c r="R38" s="20">
        <f t="shared" si="48"/>
        <v>145</v>
      </c>
      <c r="S38" s="20">
        <f t="shared" si="48"/>
        <v>496.2</v>
      </c>
      <c r="T38" s="20">
        <f t="shared" si="48"/>
        <v>496.20251999999999</v>
      </c>
      <c r="U38" s="20">
        <f t="shared" si="48"/>
        <v>541.96591000000001</v>
      </c>
      <c r="V38" s="20">
        <f t="shared" ref="V38:AP38" si="49">V39+V43+V41</f>
        <v>156</v>
      </c>
      <c r="W38" s="20">
        <f t="shared" si="49"/>
        <v>248.8</v>
      </c>
      <c r="X38" s="20">
        <f t="shared" si="49"/>
        <v>255.02851000000001</v>
      </c>
      <c r="Y38" s="20">
        <f t="shared" si="49"/>
        <v>227.76512000000002</v>
      </c>
      <c r="Z38" s="20">
        <f>Z39+Z43+Z41</f>
        <v>160</v>
      </c>
      <c r="AA38" s="20">
        <f>AA39+AA43+AA41</f>
        <v>1014.3</v>
      </c>
      <c r="AB38" s="20">
        <f>AB39+AB43+AB41</f>
        <v>1014.62637</v>
      </c>
      <c r="AC38" s="20">
        <f>AC39+AC43+AC41</f>
        <v>1296.4234099999999</v>
      </c>
      <c r="AD38" s="20">
        <f t="shared" si="49"/>
        <v>166.8</v>
      </c>
      <c r="AE38" s="20">
        <f t="shared" si="49"/>
        <v>976.9</v>
      </c>
      <c r="AF38" s="20">
        <f t="shared" si="49"/>
        <v>984.30611999999996</v>
      </c>
      <c r="AG38" s="20">
        <f t="shared" si="49"/>
        <v>1023.17938</v>
      </c>
      <c r="AH38" s="20">
        <f t="shared" si="49"/>
        <v>854</v>
      </c>
      <c r="AI38" s="20">
        <f t="shared" si="49"/>
        <v>159.5</v>
      </c>
      <c r="AJ38" s="20">
        <f t="shared" si="49"/>
        <v>159.5</v>
      </c>
      <c r="AK38" s="20">
        <f t="shared" si="49"/>
        <v>1421.6999999999998</v>
      </c>
      <c r="AL38" s="20">
        <f t="shared" si="49"/>
        <v>766.49669999999992</v>
      </c>
      <c r="AM38" s="20">
        <f t="shared" si="49"/>
        <v>583.67509999999993</v>
      </c>
      <c r="AN38" s="20">
        <f t="shared" si="49"/>
        <v>256.3</v>
      </c>
      <c r="AO38" s="20">
        <f t="shared" si="49"/>
        <v>256.3</v>
      </c>
      <c r="AP38" s="20">
        <f t="shared" si="49"/>
        <v>256.3</v>
      </c>
      <c r="AQ38" s="20">
        <v>256.3</v>
      </c>
      <c r="AR38" s="20">
        <v>256.3</v>
      </c>
      <c r="AS38" s="20">
        <v>256.3</v>
      </c>
      <c r="AT38" s="20">
        <f>AT39+AT43+AT41</f>
        <v>256.3</v>
      </c>
      <c r="AU38" s="20">
        <f>AU39+AU43+AU41</f>
        <v>187</v>
      </c>
      <c r="AV38" s="20">
        <f>AV39+AV43+AV41</f>
        <v>214.06222</v>
      </c>
      <c r="AW38" s="20">
        <f>AW39+AW43+AW41</f>
        <v>1363.9473500000001</v>
      </c>
      <c r="AX38" s="20">
        <f t="shared" ref="AX38" si="50">AX39+AX43+AX41</f>
        <v>805.90000000000009</v>
      </c>
      <c r="AY38" s="20">
        <f>AY39+AY43+AY41</f>
        <v>805.90000000000009</v>
      </c>
      <c r="AZ38" s="20">
        <f>AZ39+AZ43+AZ41</f>
        <v>805.90000000000009</v>
      </c>
      <c r="BA38" s="20">
        <v>805.9</v>
      </c>
      <c r="BB38" s="20">
        <v>1324</v>
      </c>
      <c r="BC38" s="20">
        <f t="shared" ref="BC38:BG38" si="51">BC39+BC43+BC41</f>
        <v>1324.1000000000001</v>
      </c>
      <c r="BD38" s="20">
        <f t="shared" si="51"/>
        <v>1245.9000000000001</v>
      </c>
      <c r="BE38" s="20">
        <f t="shared" si="51"/>
        <v>678.18705</v>
      </c>
      <c r="BF38" s="20">
        <f>BF39+BF43+BF41</f>
        <v>809.42523000000006</v>
      </c>
      <c r="BG38" s="20">
        <f t="shared" si="51"/>
        <v>437.59999999999997</v>
      </c>
      <c r="BH38" s="20">
        <f>BH39+BH43+BH41</f>
        <v>437.59999999999997</v>
      </c>
      <c r="BI38" s="20">
        <f>BI39+BI43+BI41</f>
        <v>437.59999999999997</v>
      </c>
      <c r="BJ38" s="20">
        <f t="shared" ref="BJ38:BP38" si="52">BJ39+BJ43+BJ41</f>
        <v>946.2</v>
      </c>
      <c r="BK38" s="20">
        <f t="shared" si="52"/>
        <v>946.2</v>
      </c>
      <c r="BL38" s="20">
        <f t="shared" si="52"/>
        <v>821.4</v>
      </c>
      <c r="BM38" s="20">
        <f t="shared" si="6"/>
        <v>383.8</v>
      </c>
      <c r="BN38" s="20">
        <f t="shared" si="7"/>
        <v>187.7056672760512</v>
      </c>
      <c r="BO38" s="20">
        <f t="shared" si="52"/>
        <v>821.4</v>
      </c>
      <c r="BP38" s="20">
        <f t="shared" si="52"/>
        <v>810.76648999999998</v>
      </c>
      <c r="BQ38" s="20">
        <f>BQ39+BQ43+BQ41</f>
        <v>1235.9826599999999</v>
      </c>
      <c r="BR38" s="20">
        <f t="shared" ref="BR38:BR53" si="53">BP38/BG38*100</f>
        <v>185.27570612431447</v>
      </c>
      <c r="BS38" s="20">
        <f t="shared" ref="BS38:BS67" si="54">BP38/BL38*100</f>
        <v>98.70544071098125</v>
      </c>
      <c r="BT38" s="20">
        <f t="shared" ref="BT38:BT67" si="55">BP38/BE38*100</f>
        <v>119.54909637392809</v>
      </c>
    </row>
    <row r="39" spans="1:72" ht="89.25" hidden="1" customHeight="1" x14ac:dyDescent="0.25">
      <c r="A39" s="10" t="s">
        <v>134</v>
      </c>
      <c r="B39" s="38" t="s">
        <v>135</v>
      </c>
      <c r="C39" s="25">
        <v>1962.58662</v>
      </c>
      <c r="D39" s="25">
        <v>1858</v>
      </c>
      <c r="E39" s="25">
        <v>0</v>
      </c>
      <c r="F39" s="25">
        <v>-99.637879999999996</v>
      </c>
      <c r="G39" s="25">
        <v>950</v>
      </c>
      <c r="H39" s="25">
        <v>939.2</v>
      </c>
      <c r="I39" s="25">
        <v>858.70236</v>
      </c>
      <c r="J39" s="25">
        <v>862.5</v>
      </c>
      <c r="K39" s="25">
        <v>722.5</v>
      </c>
      <c r="L39" s="25">
        <v>681.34639000000004</v>
      </c>
      <c r="M39" s="25">
        <v>681.34639000000004</v>
      </c>
      <c r="N39" s="25">
        <v>997.6</v>
      </c>
      <c r="O39" s="25">
        <v>0</v>
      </c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>
        <v>6.948E-2</v>
      </c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0"/>
      <c r="BK39" s="27"/>
      <c r="BL39" s="25"/>
      <c r="BM39" s="20">
        <f t="shared" si="6"/>
        <v>0</v>
      </c>
      <c r="BN39" s="20" t="e">
        <f t="shared" si="7"/>
        <v>#DIV/0!</v>
      </c>
      <c r="BO39" s="25"/>
      <c r="BP39" s="25"/>
      <c r="BQ39" s="25"/>
      <c r="BR39" s="25" t="e">
        <f t="shared" si="53"/>
        <v>#DIV/0!</v>
      </c>
      <c r="BS39" s="25" t="e">
        <f t="shared" si="54"/>
        <v>#DIV/0!</v>
      </c>
      <c r="BT39" s="25" t="e">
        <f t="shared" si="55"/>
        <v>#DIV/0!</v>
      </c>
    </row>
    <row r="40" spans="1:72" ht="63.75" hidden="1" customHeight="1" x14ac:dyDescent="0.25">
      <c r="A40" s="10" t="s">
        <v>136</v>
      </c>
      <c r="B40" s="38" t="s">
        <v>137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0"/>
      <c r="BK40" s="27"/>
      <c r="BL40" s="25"/>
      <c r="BM40" s="20">
        <f t="shared" si="6"/>
        <v>0</v>
      </c>
      <c r="BN40" s="20" t="e">
        <f t="shared" si="7"/>
        <v>#DIV/0!</v>
      </c>
      <c r="BO40" s="25"/>
      <c r="BP40" s="25"/>
      <c r="BQ40" s="25"/>
      <c r="BR40" s="25" t="e">
        <f t="shared" si="53"/>
        <v>#DIV/0!</v>
      </c>
      <c r="BS40" s="25" t="e">
        <f t="shared" si="54"/>
        <v>#DIV/0!</v>
      </c>
      <c r="BT40" s="25" t="e">
        <f t="shared" si="55"/>
        <v>#DIV/0!</v>
      </c>
    </row>
    <row r="41" spans="1:72" ht="45.75" hidden="1" customHeight="1" x14ac:dyDescent="0.25">
      <c r="A41" s="10" t="s">
        <v>138</v>
      </c>
      <c r="B41" s="38" t="s">
        <v>139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>
        <v>211</v>
      </c>
      <c r="X41" s="25">
        <v>211.79230000000001</v>
      </c>
      <c r="Y41" s="25">
        <v>211.79230000000001</v>
      </c>
      <c r="Z41" s="25">
        <v>82</v>
      </c>
      <c r="AA41" s="25">
        <v>941.4</v>
      </c>
      <c r="AB41" s="25">
        <v>941.72871999999995</v>
      </c>
      <c r="AC41" s="25">
        <v>1242.02576</v>
      </c>
      <c r="AD41" s="25">
        <v>73.5</v>
      </c>
      <c r="AE41" s="25">
        <v>953.6</v>
      </c>
      <c r="AF41" s="25">
        <v>961.69272000000001</v>
      </c>
      <c r="AG41" s="25">
        <f>1023.17938-AG43</f>
        <v>1000.5659800000001</v>
      </c>
      <c r="AH41" s="25">
        <v>777.7</v>
      </c>
      <c r="AI41" s="25">
        <v>83.2</v>
      </c>
      <c r="AJ41" s="25">
        <v>83.2</v>
      </c>
      <c r="AK41" s="25">
        <v>1399.6</v>
      </c>
      <c r="AL41" s="25">
        <v>744.41305999999997</v>
      </c>
      <c r="AM41" s="25">
        <v>561.59145999999998</v>
      </c>
      <c r="AN41" s="25">
        <v>180</v>
      </c>
      <c r="AO41" s="25">
        <v>180</v>
      </c>
      <c r="AP41" s="25">
        <v>180</v>
      </c>
      <c r="AQ41" s="25"/>
      <c r="AR41" s="25"/>
      <c r="AS41" s="25"/>
      <c r="AT41" s="25">
        <v>180</v>
      </c>
      <c r="AU41" s="25">
        <v>187</v>
      </c>
      <c r="AV41" s="25">
        <v>214.06222</v>
      </c>
      <c r="AW41" s="25">
        <v>1363.87787</v>
      </c>
      <c r="AX41" s="25">
        <v>727.7</v>
      </c>
      <c r="AY41" s="25">
        <v>727.7</v>
      </c>
      <c r="AZ41" s="25">
        <v>727.7</v>
      </c>
      <c r="BA41" s="25"/>
      <c r="BB41" s="25">
        <v>727.7</v>
      </c>
      <c r="BC41" s="25">
        <v>1245.9000000000001</v>
      </c>
      <c r="BD41" s="25">
        <v>1245.9000000000001</v>
      </c>
      <c r="BE41" s="25">
        <v>678.18705</v>
      </c>
      <c r="BF41" s="25">
        <v>731.22523000000001</v>
      </c>
      <c r="BG41" s="25">
        <v>359.4</v>
      </c>
      <c r="BH41" s="25">
        <v>359.4</v>
      </c>
      <c r="BI41" s="25">
        <v>359.4</v>
      </c>
      <c r="BJ41" s="20">
        <v>868</v>
      </c>
      <c r="BK41" s="27">
        <v>868</v>
      </c>
      <c r="BL41" s="25">
        <v>798</v>
      </c>
      <c r="BM41" s="20">
        <f t="shared" si="6"/>
        <v>438.6</v>
      </c>
      <c r="BN41" s="20">
        <f t="shared" si="7"/>
        <v>222.03672787979966</v>
      </c>
      <c r="BO41" s="25">
        <v>798</v>
      </c>
      <c r="BP41" s="25">
        <v>794.07556</v>
      </c>
      <c r="BQ41" s="25">
        <f>1241.36646-5.3838</f>
        <v>1235.9826599999999</v>
      </c>
      <c r="BR41" s="25">
        <f t="shared" si="53"/>
        <v>220.94478575403454</v>
      </c>
      <c r="BS41" s="25">
        <f t="shared" si="54"/>
        <v>99.508215538847125</v>
      </c>
      <c r="BT41" s="25">
        <f t="shared" si="55"/>
        <v>117.08798627163407</v>
      </c>
    </row>
    <row r="42" spans="1:72" ht="56.25" hidden="1" customHeight="1" x14ac:dyDescent="0.25">
      <c r="A42" s="10" t="s">
        <v>140</v>
      </c>
      <c r="B42" s="38" t="s">
        <v>141</v>
      </c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0"/>
      <c r="BK42" s="27"/>
      <c r="BL42" s="25"/>
      <c r="BM42" s="20">
        <f t="shared" si="6"/>
        <v>0</v>
      </c>
      <c r="BN42" s="20" t="e">
        <f t="shared" si="7"/>
        <v>#DIV/0!</v>
      </c>
      <c r="BO42" s="25"/>
      <c r="BP42" s="25">
        <f>0.02284</f>
        <v>2.2839999999999999E-2</v>
      </c>
      <c r="BQ42" s="25">
        <v>2.2839999999999999E-2</v>
      </c>
      <c r="BR42" s="25" t="e">
        <f t="shared" si="53"/>
        <v>#DIV/0!</v>
      </c>
      <c r="BS42" s="25" t="e">
        <f t="shared" si="54"/>
        <v>#DIV/0!</v>
      </c>
      <c r="BT42" s="25" t="e">
        <f t="shared" si="55"/>
        <v>#DIV/0!</v>
      </c>
    </row>
    <row r="43" spans="1:72" ht="56.25" hidden="1" customHeight="1" x14ac:dyDescent="0.25">
      <c r="A43" s="10" t="s">
        <v>142</v>
      </c>
      <c r="B43" s="38" t="s">
        <v>143</v>
      </c>
      <c r="C43" s="25">
        <v>89.314459999999997</v>
      </c>
      <c r="D43" s="25">
        <v>0</v>
      </c>
      <c r="E43" s="25">
        <v>261.2</v>
      </c>
      <c r="F43" s="25">
        <v>257.57454999999999</v>
      </c>
      <c r="G43" s="25">
        <v>152</v>
      </c>
      <c r="H43" s="25">
        <v>14</v>
      </c>
      <c r="I43" s="25">
        <v>18.25638</v>
      </c>
      <c r="J43" s="25">
        <v>8</v>
      </c>
      <c r="K43" s="25">
        <v>259</v>
      </c>
      <c r="L43" s="25">
        <v>258.55367000000001</v>
      </c>
      <c r="M43" s="25">
        <v>258.55367000000001</v>
      </c>
      <c r="N43" s="25">
        <v>300</v>
      </c>
      <c r="O43" s="25">
        <v>469.6</v>
      </c>
      <c r="P43" s="25">
        <v>155.59934000000001</v>
      </c>
      <c r="Q43" s="25">
        <v>155.59934000000001</v>
      </c>
      <c r="R43" s="25">
        <v>145</v>
      </c>
      <c r="S43" s="25">
        <v>496.2</v>
      </c>
      <c r="T43" s="25">
        <v>496.20251999999999</v>
      </c>
      <c r="U43" s="25">
        <f>541.96591</f>
        <v>541.96591000000001</v>
      </c>
      <c r="V43" s="25">
        <v>156</v>
      </c>
      <c r="W43" s="25">
        <v>37.799999999999997</v>
      </c>
      <c r="X43" s="25">
        <v>43.23621</v>
      </c>
      <c r="Y43" s="25">
        <v>15.97282</v>
      </c>
      <c r="Z43" s="25">
        <v>78</v>
      </c>
      <c r="AA43" s="25">
        <v>72.900000000000006</v>
      </c>
      <c r="AB43" s="25">
        <v>72.897649999999999</v>
      </c>
      <c r="AC43" s="25">
        <f>54.39765</f>
        <v>54.397649999999999</v>
      </c>
      <c r="AD43" s="25">
        <v>93.3</v>
      </c>
      <c r="AE43" s="25">
        <v>23.3</v>
      </c>
      <c r="AF43" s="25">
        <v>22.613399999999999</v>
      </c>
      <c r="AG43" s="25">
        <v>22.613399999999999</v>
      </c>
      <c r="AH43" s="25">
        <v>76.3</v>
      </c>
      <c r="AI43" s="25">
        <v>76.3</v>
      </c>
      <c r="AJ43" s="25">
        <v>76.3</v>
      </c>
      <c r="AK43" s="25">
        <v>22.1</v>
      </c>
      <c r="AL43" s="25">
        <v>22.083639999999999</v>
      </c>
      <c r="AM43" s="25">
        <v>22.083639999999999</v>
      </c>
      <c r="AN43" s="25">
        <v>76.3</v>
      </c>
      <c r="AO43" s="25">
        <v>76.3</v>
      </c>
      <c r="AP43" s="25">
        <v>76.3</v>
      </c>
      <c r="AQ43" s="25"/>
      <c r="AR43" s="25"/>
      <c r="AS43" s="25"/>
      <c r="AT43" s="25">
        <v>76.3</v>
      </c>
      <c r="AU43" s="25">
        <v>0</v>
      </c>
      <c r="AV43" s="25">
        <v>0</v>
      </c>
      <c r="AW43" s="25">
        <v>0</v>
      </c>
      <c r="AX43" s="25">
        <v>78.2</v>
      </c>
      <c r="AY43" s="25">
        <v>78.2</v>
      </c>
      <c r="AZ43" s="25">
        <v>78.2</v>
      </c>
      <c r="BA43" s="25"/>
      <c r="BB43" s="25">
        <v>78.2</v>
      </c>
      <c r="BC43" s="25">
        <v>78.2</v>
      </c>
      <c r="BD43" s="25">
        <v>0</v>
      </c>
      <c r="BE43" s="25">
        <v>0</v>
      </c>
      <c r="BF43" s="25">
        <v>78.2</v>
      </c>
      <c r="BG43" s="25">
        <v>78.2</v>
      </c>
      <c r="BH43" s="25">
        <v>78.2</v>
      </c>
      <c r="BI43" s="25">
        <v>78.2</v>
      </c>
      <c r="BJ43" s="20">
        <v>78.2</v>
      </c>
      <c r="BK43" s="27">
        <v>78.2</v>
      </c>
      <c r="BL43" s="25">
        <v>23.4</v>
      </c>
      <c r="BM43" s="20">
        <f t="shared" si="6"/>
        <v>-54.800000000000004</v>
      </c>
      <c r="BN43" s="20">
        <f t="shared" si="7"/>
        <v>29.923273657289002</v>
      </c>
      <c r="BO43" s="25">
        <v>23.4</v>
      </c>
      <c r="BP43" s="25">
        <v>16.690930000000002</v>
      </c>
      <c r="BQ43" s="25">
        <v>0</v>
      </c>
      <c r="BR43" s="25">
        <f t="shared" si="53"/>
        <v>21.343900255754477</v>
      </c>
      <c r="BS43" s="25">
        <f t="shared" si="54"/>
        <v>71.328760683760692</v>
      </c>
      <c r="BT43" s="25" t="e">
        <f t="shared" si="55"/>
        <v>#DIV/0!</v>
      </c>
    </row>
    <row r="44" spans="1:72" ht="22.5" hidden="1" customHeight="1" x14ac:dyDescent="0.25">
      <c r="A44" s="10" t="s">
        <v>144</v>
      </c>
      <c r="B44" s="38" t="s">
        <v>145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>
        <v>11674.614799999999</v>
      </c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>
        <v>-377.64654999999999</v>
      </c>
      <c r="BG44" s="25"/>
      <c r="BH44" s="25"/>
      <c r="BI44" s="25"/>
      <c r="BJ44" s="20"/>
      <c r="BK44" s="27"/>
      <c r="BL44" s="25"/>
      <c r="BM44" s="20">
        <f t="shared" si="6"/>
        <v>0</v>
      </c>
      <c r="BN44" s="20" t="e">
        <f t="shared" si="7"/>
        <v>#DIV/0!</v>
      </c>
      <c r="BO44" s="25"/>
      <c r="BP44" s="25"/>
      <c r="BQ44" s="25"/>
      <c r="BR44" s="25" t="e">
        <f t="shared" si="53"/>
        <v>#DIV/0!</v>
      </c>
      <c r="BS44" s="25" t="e">
        <f t="shared" si="54"/>
        <v>#DIV/0!</v>
      </c>
      <c r="BT44" s="25" t="e">
        <f t="shared" si="55"/>
        <v>#DIV/0!</v>
      </c>
    </row>
    <row r="45" spans="1:72" ht="39" customHeight="1" x14ac:dyDescent="0.25">
      <c r="A45" s="18" t="s">
        <v>146</v>
      </c>
      <c r="B45" s="19" t="s">
        <v>147</v>
      </c>
      <c r="C45" s="20">
        <f>C46</f>
        <v>112.20399999999999</v>
      </c>
      <c r="D45" s="20">
        <f>D46</f>
        <v>0</v>
      </c>
      <c r="E45" s="20">
        <f>E46</f>
        <v>0</v>
      </c>
      <c r="F45" s="20">
        <f>F46+F47</f>
        <v>0</v>
      </c>
      <c r="G45" s="20">
        <f>G46</f>
        <v>0</v>
      </c>
      <c r="H45" s="20">
        <f>H46</f>
        <v>0</v>
      </c>
      <c r="I45" s="20">
        <f>I46+I47</f>
        <v>0</v>
      </c>
      <c r="J45" s="20">
        <f>J46</f>
        <v>0</v>
      </c>
      <c r="K45" s="20">
        <f>K46</f>
        <v>0</v>
      </c>
      <c r="L45" s="20">
        <f>L46+L47</f>
        <v>0</v>
      </c>
      <c r="M45" s="20">
        <f>M46+M47</f>
        <v>0</v>
      </c>
      <c r="N45" s="20">
        <f>N46</f>
        <v>0</v>
      </c>
      <c r="O45" s="20">
        <f>O46</f>
        <v>0</v>
      </c>
      <c r="P45" s="20">
        <f>P46+P47</f>
        <v>0</v>
      </c>
      <c r="Q45" s="20">
        <f>Q46+Q47</f>
        <v>0</v>
      </c>
      <c r="R45" s="20">
        <f>R46</f>
        <v>0</v>
      </c>
      <c r="S45" s="20">
        <f>S46+S47</f>
        <v>35</v>
      </c>
      <c r="T45" s="20">
        <f>T46+T47</f>
        <v>35</v>
      </c>
      <c r="U45" s="20">
        <f>U46+U47</f>
        <v>35</v>
      </c>
      <c r="V45" s="20">
        <f>V46</f>
        <v>0</v>
      </c>
      <c r="W45" s="20">
        <f>W46+W47</f>
        <v>26</v>
      </c>
      <c r="X45" s="20">
        <f>X46+X47</f>
        <v>43.566580000000002</v>
      </c>
      <c r="Y45" s="20">
        <f>Y46+Y47</f>
        <v>43.566580000000002</v>
      </c>
      <c r="Z45" s="20">
        <f>Z46</f>
        <v>0</v>
      </c>
      <c r="AA45" s="20">
        <f>AA46+AA47</f>
        <v>54</v>
      </c>
      <c r="AB45" s="20">
        <f>AB46+AB47</f>
        <v>68.917529999999999</v>
      </c>
      <c r="AC45" s="20">
        <f>AC46+AC47</f>
        <v>104.99227999999999</v>
      </c>
      <c r="AD45" s="20">
        <f>AD46</f>
        <v>0</v>
      </c>
      <c r="AE45" s="20">
        <f>AE46+AE47</f>
        <v>141</v>
      </c>
      <c r="AF45" s="20">
        <f>AF46+AF47</f>
        <v>172.66293999999999</v>
      </c>
      <c r="AG45" s="20">
        <f>AG46+AG47</f>
        <v>136.58819</v>
      </c>
      <c r="AH45" s="20">
        <f>AH46</f>
        <v>0</v>
      </c>
      <c r="AI45" s="20">
        <f>AI46</f>
        <v>0</v>
      </c>
      <c r="AJ45" s="20">
        <f>AJ46</f>
        <v>0</v>
      </c>
      <c r="AK45" s="20">
        <f>AK46+AK47</f>
        <v>938</v>
      </c>
      <c r="AL45" s="20">
        <f>AL46+AL47</f>
        <v>960.81014000000005</v>
      </c>
      <c r="AM45" s="20">
        <f>AM46+AM47</f>
        <v>1055.57809</v>
      </c>
      <c r="AN45" s="20">
        <f>AN46</f>
        <v>0</v>
      </c>
      <c r="AO45" s="20">
        <f>AO46</f>
        <v>0</v>
      </c>
      <c r="AP45" s="20">
        <f>AP46</f>
        <v>0</v>
      </c>
      <c r="AQ45" s="20">
        <v>500</v>
      </c>
      <c r="AR45" s="20">
        <v>500</v>
      </c>
      <c r="AS45" s="20">
        <v>900</v>
      </c>
      <c r="AT45" s="20">
        <f>AT46+AT47</f>
        <v>1150</v>
      </c>
      <c r="AU45" s="20">
        <f>AU46+AU47</f>
        <v>1150</v>
      </c>
      <c r="AV45" s="20">
        <f>AV46+AV47</f>
        <v>1312.9601399999999</v>
      </c>
      <c r="AW45" s="20">
        <f>AW46+AW47</f>
        <v>1339.98534</v>
      </c>
      <c r="AX45" s="20">
        <f>AX46</f>
        <v>0</v>
      </c>
      <c r="AY45" s="20">
        <f>AY46</f>
        <v>0</v>
      </c>
      <c r="AZ45" s="20">
        <f>AZ46</f>
        <v>0</v>
      </c>
      <c r="BA45" s="20">
        <v>500</v>
      </c>
      <c r="BB45" s="20">
        <v>1000</v>
      </c>
      <c r="BC45" s="20">
        <v>1300</v>
      </c>
      <c r="BD45" s="20">
        <v>1300</v>
      </c>
      <c r="BE45" s="20">
        <f>BE46+BE47</f>
        <v>1381.8450800000001</v>
      </c>
      <c r="BF45" s="20">
        <f>BF46+BF47</f>
        <v>1462.45271</v>
      </c>
      <c r="BG45" s="20">
        <f>BG46+BG47</f>
        <v>1252.5</v>
      </c>
      <c r="BH45" s="20">
        <f t="shared" ref="BH45:BL45" si="56">BH46+BH47</f>
        <v>1349.7</v>
      </c>
      <c r="BI45" s="20">
        <f t="shared" si="56"/>
        <v>1361.9</v>
      </c>
      <c r="BJ45" s="20">
        <f t="shared" si="56"/>
        <v>1252.5</v>
      </c>
      <c r="BK45" s="20">
        <f t="shared" si="56"/>
        <v>1252.5</v>
      </c>
      <c r="BL45" s="20">
        <f t="shared" si="56"/>
        <v>1552.5</v>
      </c>
      <c r="BM45" s="20">
        <f t="shared" si="6"/>
        <v>300</v>
      </c>
      <c r="BN45" s="20">
        <f t="shared" si="7"/>
        <v>123.95209580838322</v>
      </c>
      <c r="BO45" s="20">
        <f>BO46+BO47</f>
        <v>1552.8</v>
      </c>
      <c r="BP45" s="20">
        <f>BP46+BP47</f>
        <v>1707.16426</v>
      </c>
      <c r="BQ45" s="20">
        <f>BQ46+BQ47</f>
        <v>1719.8685800000001</v>
      </c>
      <c r="BR45" s="20">
        <f t="shared" si="53"/>
        <v>136.3005397205589</v>
      </c>
      <c r="BS45" s="20">
        <f t="shared" si="54"/>
        <v>109.96227117552336</v>
      </c>
      <c r="BT45" s="20">
        <f t="shared" si="55"/>
        <v>123.54237712378004</v>
      </c>
    </row>
    <row r="46" spans="1:72" ht="0.75" hidden="1" customHeight="1" x14ac:dyDescent="0.25">
      <c r="A46" s="10" t="s">
        <v>148</v>
      </c>
      <c r="B46" s="39" t="s">
        <v>149</v>
      </c>
      <c r="C46" s="25">
        <v>112.20399999999999</v>
      </c>
      <c r="D46" s="25">
        <v>0</v>
      </c>
      <c r="E46" s="25">
        <v>0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0"/>
      <c r="BK46" s="27"/>
      <c r="BL46" s="25"/>
      <c r="BM46" s="20">
        <f t="shared" si="6"/>
        <v>0</v>
      </c>
      <c r="BN46" s="20" t="e">
        <f t="shared" si="7"/>
        <v>#DIV/0!</v>
      </c>
      <c r="BO46" s="25"/>
      <c r="BP46" s="25"/>
      <c r="BQ46" s="25"/>
      <c r="BR46" s="25" t="e">
        <f t="shared" si="53"/>
        <v>#DIV/0!</v>
      </c>
      <c r="BS46" s="25" t="e">
        <f t="shared" si="54"/>
        <v>#DIV/0!</v>
      </c>
      <c r="BT46" s="25" t="e">
        <f t="shared" si="55"/>
        <v>#DIV/0!</v>
      </c>
    </row>
    <row r="47" spans="1:72" ht="24.75" hidden="1" customHeight="1" x14ac:dyDescent="0.25">
      <c r="A47" s="10" t="s">
        <v>150</v>
      </c>
      <c r="B47" s="39" t="s">
        <v>151</v>
      </c>
      <c r="C47" s="25">
        <v>0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35</v>
      </c>
      <c r="T47" s="25">
        <v>35</v>
      </c>
      <c r="U47" s="25">
        <v>35</v>
      </c>
      <c r="V47" s="25">
        <v>0</v>
      </c>
      <c r="W47" s="25">
        <v>26</v>
      </c>
      <c r="X47" s="25">
        <v>43.566580000000002</v>
      </c>
      <c r="Y47" s="25">
        <v>43.566580000000002</v>
      </c>
      <c r="Z47" s="25">
        <v>0</v>
      </c>
      <c r="AA47" s="25">
        <v>54</v>
      </c>
      <c r="AB47" s="25">
        <v>68.917529999999999</v>
      </c>
      <c r="AC47" s="25">
        <v>104.99227999999999</v>
      </c>
      <c r="AD47" s="25">
        <v>0</v>
      </c>
      <c r="AE47" s="25">
        <v>141</v>
      </c>
      <c r="AF47" s="25">
        <v>172.66293999999999</v>
      </c>
      <c r="AG47" s="25">
        <v>136.58819</v>
      </c>
      <c r="AH47" s="25">
        <v>0</v>
      </c>
      <c r="AI47" s="25">
        <v>0</v>
      </c>
      <c r="AJ47" s="25">
        <v>0</v>
      </c>
      <c r="AK47" s="25">
        <v>938</v>
      </c>
      <c r="AL47" s="25">
        <v>960.81014000000005</v>
      </c>
      <c r="AM47" s="25">
        <v>1055.57809</v>
      </c>
      <c r="AN47" s="25">
        <v>0</v>
      </c>
      <c r="AO47" s="25">
        <v>3</v>
      </c>
      <c r="AP47" s="25">
        <v>6</v>
      </c>
      <c r="AQ47" s="25"/>
      <c r="AR47" s="25"/>
      <c r="AS47" s="25"/>
      <c r="AT47" s="25">
        <v>1150</v>
      </c>
      <c r="AU47" s="25">
        <v>1150</v>
      </c>
      <c r="AV47" s="25">
        <v>1312.9601399999999</v>
      </c>
      <c r="AW47" s="25">
        <v>1339.98534</v>
      </c>
      <c r="AX47" s="25">
        <v>0</v>
      </c>
      <c r="AY47" s="25">
        <v>0</v>
      </c>
      <c r="AZ47" s="25">
        <v>0</v>
      </c>
      <c r="BA47" s="25"/>
      <c r="BB47" s="25">
        <v>2</v>
      </c>
      <c r="BC47" s="25">
        <v>1300</v>
      </c>
      <c r="BD47" s="25">
        <v>1300</v>
      </c>
      <c r="BE47" s="25">
        <v>1381.8450800000001</v>
      </c>
      <c r="BF47" s="25">
        <v>1462.45271</v>
      </c>
      <c r="BG47" s="25">
        <v>1252.5</v>
      </c>
      <c r="BH47" s="25">
        <v>1349.7</v>
      </c>
      <c r="BI47" s="25">
        <v>1361.9</v>
      </c>
      <c r="BJ47" s="20">
        <v>1252.5</v>
      </c>
      <c r="BK47" s="27">
        <v>1252.5</v>
      </c>
      <c r="BL47" s="25">
        <v>1552.5</v>
      </c>
      <c r="BM47" s="20">
        <f t="shared" si="6"/>
        <v>300</v>
      </c>
      <c r="BN47" s="20">
        <f t="shared" si="7"/>
        <v>123.95209580838322</v>
      </c>
      <c r="BO47" s="25">
        <v>1552.8</v>
      </c>
      <c r="BP47" s="25">
        <v>1707.16426</v>
      </c>
      <c r="BQ47" s="25">
        <v>1719.8685800000001</v>
      </c>
      <c r="BR47" s="25">
        <f t="shared" si="53"/>
        <v>136.3005397205589</v>
      </c>
      <c r="BS47" s="25">
        <f t="shared" si="54"/>
        <v>109.96227117552336</v>
      </c>
      <c r="BT47" s="25">
        <f t="shared" si="55"/>
        <v>123.54237712378004</v>
      </c>
    </row>
    <row r="48" spans="1:72" ht="22.5" hidden="1" customHeight="1" x14ac:dyDescent="0.25">
      <c r="A48" s="10"/>
      <c r="B48" s="39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0"/>
      <c r="BK48" s="27"/>
      <c r="BL48" s="25"/>
      <c r="BM48" s="20">
        <f t="shared" si="6"/>
        <v>0</v>
      </c>
      <c r="BN48" s="20" t="e">
        <f t="shared" si="7"/>
        <v>#DIV/0!</v>
      </c>
      <c r="BO48" s="25"/>
      <c r="BP48" s="25"/>
      <c r="BQ48" s="25"/>
      <c r="BR48" s="25" t="e">
        <f t="shared" si="53"/>
        <v>#DIV/0!</v>
      </c>
      <c r="BS48" s="25" t="e">
        <f t="shared" si="54"/>
        <v>#DIV/0!</v>
      </c>
      <c r="BT48" s="25" t="e">
        <f t="shared" si="55"/>
        <v>#DIV/0!</v>
      </c>
    </row>
    <row r="49" spans="1:72" ht="29.25" hidden="1" customHeight="1" x14ac:dyDescent="0.25">
      <c r="A49" s="18" t="s">
        <v>152</v>
      </c>
      <c r="B49" s="19" t="s">
        <v>153</v>
      </c>
      <c r="C49" s="20">
        <f>C53+C50</f>
        <v>138.38155</v>
      </c>
      <c r="D49" s="20">
        <f>D53+D50</f>
        <v>0</v>
      </c>
      <c r="E49" s="20">
        <f>E53+E50+E51</f>
        <v>14.8</v>
      </c>
      <c r="F49" s="20">
        <f>F53+F50+F51</f>
        <v>18.445499999999999</v>
      </c>
      <c r="G49" s="20">
        <f>G53+G50</f>
        <v>8</v>
      </c>
      <c r="H49" s="20">
        <f>H53+H50+H51</f>
        <v>43.8</v>
      </c>
      <c r="I49" s="20">
        <f>I53+I50+I51</f>
        <v>44.074260000000002</v>
      </c>
      <c r="J49" s="20">
        <f>J53+J50</f>
        <v>71</v>
      </c>
      <c r="K49" s="20">
        <f>K53+K50+K51</f>
        <v>247</v>
      </c>
      <c r="L49" s="20">
        <f>L53+L50+L51</f>
        <v>246.31367</v>
      </c>
      <c r="M49" s="20">
        <f>M53+M50+M51</f>
        <v>246.31367</v>
      </c>
      <c r="N49" s="20">
        <f>N53+N50</f>
        <v>71</v>
      </c>
      <c r="O49" s="20">
        <f>O53+O50+O51</f>
        <v>0</v>
      </c>
      <c r="P49" s="20"/>
      <c r="Q49" s="20">
        <f>Q53+Q50+Q51</f>
        <v>-43900.86881</v>
      </c>
      <c r="R49" s="20">
        <f>R53+R50</f>
        <v>0</v>
      </c>
      <c r="S49" s="20">
        <f>S53+S50+S51</f>
        <v>96</v>
      </c>
      <c r="T49" s="20">
        <f>T50</f>
        <v>96.037000000000006</v>
      </c>
      <c r="U49" s="20">
        <f>U53+U50+U51</f>
        <v>-8566.3933699999998</v>
      </c>
      <c r="V49" s="20">
        <f>V53+V50</f>
        <v>0</v>
      </c>
      <c r="W49" s="20">
        <f>W53+W50+W51</f>
        <v>0</v>
      </c>
      <c r="X49" s="20">
        <f>X50</f>
        <v>0</v>
      </c>
      <c r="Y49" s="20">
        <f>Y53+Y50+Y51</f>
        <v>-2.8206000000000002</v>
      </c>
      <c r="Z49" s="20">
        <f>Z53+Z50</f>
        <v>0</v>
      </c>
      <c r="AA49" s="20">
        <f>AA53+AA50+AA51</f>
        <v>0</v>
      </c>
      <c r="AB49" s="20">
        <f>AB50</f>
        <v>0</v>
      </c>
      <c r="AC49" s="20">
        <f>AC53+AC50+AC51+AC24+AC32+AC44</f>
        <v>1771.83907</v>
      </c>
      <c r="AD49" s="20">
        <f>AD53+AD50</f>
        <v>0</v>
      </c>
      <c r="AE49" s="20">
        <f>AE53+AE50+AE51</f>
        <v>0</v>
      </c>
      <c r="AF49" s="20">
        <f>AF50</f>
        <v>0</v>
      </c>
      <c r="AG49" s="20">
        <f>AG53+AG50+AG51+AG24+AG32+AG44</f>
        <v>-32195.580480000001</v>
      </c>
      <c r="AH49" s="20">
        <f>AH53+AH50</f>
        <v>0</v>
      </c>
      <c r="AI49" s="20">
        <f>AI53+AI50</f>
        <v>0</v>
      </c>
      <c r="AJ49" s="20">
        <f>AJ53+AJ50</f>
        <v>0</v>
      </c>
      <c r="AK49" s="20">
        <f>AK53+AK50+AK51</f>
        <v>0</v>
      </c>
      <c r="AL49" s="20">
        <f>AL50</f>
        <v>0</v>
      </c>
      <c r="AM49" s="20">
        <f>AM53+AM50+AM51+AM24+AM32+AM44+AM30</f>
        <v>-167.15698</v>
      </c>
      <c r="AN49" s="20">
        <f>AN53+AN50</f>
        <v>0</v>
      </c>
      <c r="AO49" s="20">
        <f>AO53+AO50</f>
        <v>3</v>
      </c>
      <c r="AP49" s="20">
        <f>AP53+AP50</f>
        <v>6</v>
      </c>
      <c r="AQ49" s="20">
        <v>0</v>
      </c>
      <c r="AR49" s="20">
        <v>0</v>
      </c>
      <c r="AS49" s="20"/>
      <c r="AT49" s="20">
        <f>AT50</f>
        <v>0</v>
      </c>
      <c r="AU49" s="20">
        <f>AU50</f>
        <v>0</v>
      </c>
      <c r="AV49" s="20">
        <f>AV50</f>
        <v>0</v>
      </c>
      <c r="AW49" s="20">
        <v>-9227.5849400000006</v>
      </c>
      <c r="AX49" s="20">
        <f>AX53+AX50</f>
        <v>0</v>
      </c>
      <c r="AY49" s="20">
        <f>AY53+AY50</f>
        <v>0</v>
      </c>
      <c r="AZ49" s="20">
        <f>AZ53+AZ50</f>
        <v>0</v>
      </c>
      <c r="BA49" s="20">
        <v>0</v>
      </c>
      <c r="BB49" s="20">
        <v>0</v>
      </c>
      <c r="BC49" s="20"/>
      <c r="BD49" s="20"/>
      <c r="BE49" s="20"/>
      <c r="BF49" s="20">
        <v>-23459.610619999999</v>
      </c>
      <c r="BG49" s="20">
        <f>BG53+BG50</f>
        <v>0</v>
      </c>
      <c r="BH49" s="20">
        <f>BH53+BH50</f>
        <v>0</v>
      </c>
      <c r="BI49" s="20">
        <f>BI53+BI50</f>
        <v>0</v>
      </c>
      <c r="BJ49" s="21">
        <f>BJ53+BJ50</f>
        <v>0</v>
      </c>
      <c r="BK49" s="22">
        <f>BK53+BK50</f>
        <v>0</v>
      </c>
      <c r="BL49" s="20"/>
      <c r="BM49" s="20">
        <f t="shared" si="6"/>
        <v>0</v>
      </c>
      <c r="BN49" s="20" t="e">
        <f t="shared" si="7"/>
        <v>#DIV/0!</v>
      </c>
      <c r="BO49" s="20">
        <f>BO53+BO50</f>
        <v>0</v>
      </c>
      <c r="BP49" s="20"/>
      <c r="BQ49" s="20">
        <f>BQ50</f>
        <v>-7960.4659600000005</v>
      </c>
      <c r="BR49" s="20" t="e">
        <f t="shared" si="53"/>
        <v>#DIV/0!</v>
      </c>
      <c r="BS49" s="20" t="e">
        <f t="shared" si="54"/>
        <v>#DIV/0!</v>
      </c>
      <c r="BT49" s="20" t="e">
        <f t="shared" si="55"/>
        <v>#DIV/0!</v>
      </c>
    </row>
    <row r="50" spans="1:72" ht="22.5" hidden="1" customHeight="1" x14ac:dyDescent="0.25">
      <c r="A50" s="10" t="s">
        <v>154</v>
      </c>
      <c r="B50" s="38" t="s">
        <v>155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/>
      <c r="Q50" s="25">
        <v>-43900.86881</v>
      </c>
      <c r="R50" s="25">
        <v>0</v>
      </c>
      <c r="S50" s="25">
        <v>96</v>
      </c>
      <c r="T50" s="25">
        <v>96.037000000000006</v>
      </c>
      <c r="U50" s="25">
        <f>-8394.94895+96.03699-267.48141</f>
        <v>-8566.3933699999998</v>
      </c>
      <c r="V50" s="25">
        <v>0</v>
      </c>
      <c r="W50" s="25">
        <v>0</v>
      </c>
      <c r="X50" s="25">
        <v>0</v>
      </c>
      <c r="Y50" s="25">
        <v>-2.8206000000000002</v>
      </c>
      <c r="Z50" s="25">
        <v>0</v>
      </c>
      <c r="AA50" s="25">
        <v>0</v>
      </c>
      <c r="AB50" s="25">
        <v>0</v>
      </c>
      <c r="AC50" s="25">
        <v>-9470.9848299999994</v>
      </c>
      <c r="AD50" s="25">
        <v>0</v>
      </c>
      <c r="AE50" s="25">
        <v>0</v>
      </c>
      <c r="AF50" s="25">
        <v>0</v>
      </c>
      <c r="AG50" s="25">
        <v>-32164.783100000001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/>
      <c r="AN50" s="25">
        <v>0</v>
      </c>
      <c r="AO50" s="25">
        <v>3</v>
      </c>
      <c r="AP50" s="25">
        <v>6</v>
      </c>
      <c r="AQ50" s="25"/>
      <c r="AR50" s="25"/>
      <c r="AS50" s="25"/>
      <c r="AT50" s="25">
        <v>0</v>
      </c>
      <c r="AU50" s="25">
        <v>0</v>
      </c>
      <c r="AV50" s="25">
        <v>0</v>
      </c>
      <c r="AW50" s="25"/>
      <c r="AX50" s="25">
        <v>0</v>
      </c>
      <c r="AY50" s="25">
        <v>0</v>
      </c>
      <c r="AZ50" s="25">
        <v>0</v>
      </c>
      <c r="BA50" s="25"/>
      <c r="BB50" s="25">
        <v>2</v>
      </c>
      <c r="BC50" s="25"/>
      <c r="BD50" s="25"/>
      <c r="BE50" s="25"/>
      <c r="BF50" s="25">
        <v>-3354.1867699999998</v>
      </c>
      <c r="BG50" s="25">
        <v>0</v>
      </c>
      <c r="BH50" s="25">
        <v>0</v>
      </c>
      <c r="BI50" s="25">
        <v>0</v>
      </c>
      <c r="BJ50" s="20"/>
      <c r="BK50" s="27"/>
      <c r="BL50" s="25"/>
      <c r="BM50" s="20">
        <f t="shared" si="6"/>
        <v>0</v>
      </c>
      <c r="BN50" s="20" t="e">
        <f t="shared" si="7"/>
        <v>#DIV/0!</v>
      </c>
      <c r="BO50" s="25">
        <v>0</v>
      </c>
      <c r="BP50" s="25"/>
      <c r="BQ50" s="25">
        <v>-7960.4659600000005</v>
      </c>
      <c r="BR50" s="25" t="e">
        <f t="shared" si="53"/>
        <v>#DIV/0!</v>
      </c>
      <c r="BS50" s="25" t="e">
        <f t="shared" si="54"/>
        <v>#DIV/0!</v>
      </c>
      <c r="BT50" s="25" t="e">
        <f t="shared" si="55"/>
        <v>#DIV/0!</v>
      </c>
    </row>
    <row r="51" spans="1:72" ht="22.5" hidden="1" customHeight="1" x14ac:dyDescent="0.25">
      <c r="A51" s="10" t="s">
        <v>156</v>
      </c>
      <c r="B51" s="38" t="s">
        <v>157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/>
      <c r="Q51" s="25">
        <v>0</v>
      </c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0"/>
      <c r="BK51" s="27"/>
      <c r="BL51" s="25"/>
      <c r="BM51" s="20">
        <f t="shared" si="6"/>
        <v>0</v>
      </c>
      <c r="BN51" s="20" t="e">
        <f t="shared" si="7"/>
        <v>#DIV/0!</v>
      </c>
      <c r="BO51" s="25"/>
      <c r="BP51" s="25"/>
      <c r="BQ51" s="25"/>
      <c r="BR51" s="25" t="e">
        <f t="shared" si="53"/>
        <v>#DIV/0!</v>
      </c>
      <c r="BS51" s="25" t="e">
        <f t="shared" si="54"/>
        <v>#DIV/0!</v>
      </c>
      <c r="BT51" s="25" t="e">
        <f t="shared" si="55"/>
        <v>#DIV/0!</v>
      </c>
    </row>
    <row r="52" spans="1:72" ht="22.5" hidden="1" customHeight="1" x14ac:dyDescent="0.25">
      <c r="A52" s="10" t="s">
        <v>158</v>
      </c>
      <c r="B52" s="38" t="s">
        <v>159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0"/>
      <c r="BK52" s="27"/>
      <c r="BL52" s="25"/>
      <c r="BM52" s="20">
        <f t="shared" si="6"/>
        <v>0</v>
      </c>
      <c r="BN52" s="20" t="e">
        <f t="shared" si="7"/>
        <v>#DIV/0!</v>
      </c>
      <c r="BO52" s="25"/>
      <c r="BP52" s="25"/>
      <c r="BQ52" s="25"/>
      <c r="BR52" s="25" t="e">
        <f t="shared" si="53"/>
        <v>#DIV/0!</v>
      </c>
      <c r="BS52" s="25" t="e">
        <f t="shared" si="54"/>
        <v>#DIV/0!</v>
      </c>
      <c r="BT52" s="25" t="e">
        <f t="shared" si="55"/>
        <v>#DIV/0!</v>
      </c>
    </row>
    <row r="53" spans="1:72" ht="22.5" hidden="1" customHeight="1" x14ac:dyDescent="0.25">
      <c r="A53" s="10" t="s">
        <v>160</v>
      </c>
      <c r="B53" s="38" t="s">
        <v>161</v>
      </c>
      <c r="C53" s="25">
        <v>138.38155</v>
      </c>
      <c r="D53" s="25">
        <v>0</v>
      </c>
      <c r="E53" s="25">
        <v>14.8</v>
      </c>
      <c r="F53" s="25">
        <v>18.445499999999999</v>
      </c>
      <c r="G53" s="25">
        <v>8</v>
      </c>
      <c r="H53" s="25">
        <v>43.8</v>
      </c>
      <c r="I53" s="25">
        <v>44.074260000000002</v>
      </c>
      <c r="J53" s="25">
        <v>71</v>
      </c>
      <c r="K53" s="25">
        <v>247</v>
      </c>
      <c r="L53" s="25">
        <v>246.31367</v>
      </c>
      <c r="M53" s="25">
        <v>246.31367</v>
      </c>
      <c r="N53" s="25">
        <v>71</v>
      </c>
      <c r="O53" s="25">
        <v>0</v>
      </c>
      <c r="P53" s="25"/>
      <c r="Q53" s="25">
        <v>0</v>
      </c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0"/>
      <c r="BK53" s="27"/>
      <c r="BL53" s="25"/>
      <c r="BM53" s="20">
        <f t="shared" si="6"/>
        <v>0</v>
      </c>
      <c r="BN53" s="20" t="e">
        <f t="shared" si="7"/>
        <v>#DIV/0!</v>
      </c>
      <c r="BO53" s="25"/>
      <c r="BP53" s="25"/>
      <c r="BQ53" s="25"/>
      <c r="BR53" s="25" t="e">
        <f t="shared" si="53"/>
        <v>#DIV/0!</v>
      </c>
      <c r="BS53" s="25" t="e">
        <f t="shared" si="54"/>
        <v>#DIV/0!</v>
      </c>
      <c r="BT53" s="25" t="e">
        <f t="shared" si="55"/>
        <v>#DIV/0!</v>
      </c>
    </row>
    <row r="54" spans="1:72" ht="17.25" customHeight="1" x14ac:dyDescent="0.25">
      <c r="A54" s="18" t="s">
        <v>162</v>
      </c>
      <c r="B54" s="40" t="s">
        <v>163</v>
      </c>
      <c r="C54" s="20">
        <f>C56+C57+C58</f>
        <v>1977.8404</v>
      </c>
      <c r="D54" s="20">
        <f>D56+D57</f>
        <v>0</v>
      </c>
      <c r="E54" s="20">
        <f>E56+E57</f>
        <v>1125</v>
      </c>
      <c r="F54" s="20">
        <f>F56+F57</f>
        <v>1124.9659999999999</v>
      </c>
      <c r="G54" s="20">
        <f>G56+G57</f>
        <v>0</v>
      </c>
      <c r="H54" s="20">
        <f>H56+H57+H60+H55</f>
        <v>37.700000000000003</v>
      </c>
      <c r="I54" s="20">
        <f>I56+I57+I60+I55</f>
        <v>37.766019999999997</v>
      </c>
      <c r="J54" s="20">
        <f>J56+J57</f>
        <v>0</v>
      </c>
      <c r="K54" s="20">
        <f>K56+K57+K60+K55</f>
        <v>0</v>
      </c>
      <c r="L54" s="20">
        <f>L56+L57+L60+L55</f>
        <v>0</v>
      </c>
      <c r="M54" s="20">
        <f>M56+M57+M60+M55</f>
        <v>0</v>
      </c>
      <c r="N54" s="20">
        <f>N56+N57</f>
        <v>0</v>
      </c>
      <c r="O54" s="20">
        <f>O56+O57+O60+O55</f>
        <v>0</v>
      </c>
      <c r="P54" s="20">
        <f>P56+P57+P60+P55+P58</f>
        <v>62.073</v>
      </c>
      <c r="Q54" s="20">
        <f>Q56+Q57+Q60+Q55+Q58</f>
        <v>62.073</v>
      </c>
      <c r="R54" s="20">
        <f>R56+R57</f>
        <v>0</v>
      </c>
      <c r="S54" s="20">
        <f>S56+S57+S60+S55+S58</f>
        <v>49.3</v>
      </c>
      <c r="T54" s="20">
        <f>T56+T57+T60+T55+T58</f>
        <v>49.271999999999998</v>
      </c>
      <c r="U54" s="20">
        <f>U56+U57+U60+U55+U58</f>
        <v>119.61978000000001</v>
      </c>
      <c r="V54" s="20">
        <f>V56+V57</f>
        <v>0</v>
      </c>
      <c r="W54" s="20">
        <f>W56+W57+W60+W55+W58</f>
        <v>83</v>
      </c>
      <c r="X54" s="20">
        <f>X56+X57+X60+X55+X58</f>
        <v>88.743709999999993</v>
      </c>
      <c r="Y54" s="20">
        <f>Y56+Y57+Y60+Y55+Y58</f>
        <v>88.543710000000004</v>
      </c>
      <c r="Z54" s="20">
        <f>Z56+Z57</f>
        <v>0</v>
      </c>
      <c r="AA54" s="20">
        <f>AA56+AA57+AA60+AA55+AA58</f>
        <v>16.100000000000001</v>
      </c>
      <c r="AB54" s="20">
        <f>AB56+AB57+AB60+AB55+AB58</f>
        <v>21.044139999999999</v>
      </c>
      <c r="AC54" s="20">
        <f>AC56+AC57+AC60+AC55+AC58</f>
        <v>21.044139999999999</v>
      </c>
      <c r="AD54" s="20">
        <f>AD56+AD57</f>
        <v>0</v>
      </c>
      <c r="AE54" s="20">
        <f>AE56+AE57+AE60+AE55+AE58</f>
        <v>65</v>
      </c>
      <c r="AF54" s="20">
        <f>AF56+AF57+AF60+AF55+AF58</f>
        <v>111.35687999999999</v>
      </c>
      <c r="AG54" s="20">
        <f>AG56+AG57+AG60+AG55+AG58</f>
        <v>111.35688</v>
      </c>
      <c r="AH54" s="20">
        <f>AH56+AH57</f>
        <v>0</v>
      </c>
      <c r="AI54" s="20">
        <f>AI56+AI57</f>
        <v>0</v>
      </c>
      <c r="AJ54" s="20">
        <f>AJ56+AJ57</f>
        <v>0</v>
      </c>
      <c r="AK54" s="20">
        <f>AK56+AK57+AK60+AK55+AK58</f>
        <v>102.8</v>
      </c>
      <c r="AL54" s="20">
        <f>AL58</f>
        <v>102.82123</v>
      </c>
      <c r="AM54" s="20">
        <f>AM56+AM57+AM60+AM55+AM58</f>
        <v>45.649410000000003</v>
      </c>
      <c r="AN54" s="20">
        <f>AN56+AN57</f>
        <v>0</v>
      </c>
      <c r="AO54" s="20">
        <f>AO56+AO57</f>
        <v>0</v>
      </c>
      <c r="AP54" s="20">
        <f>AP56+AP57</f>
        <v>0</v>
      </c>
      <c r="AQ54" s="20">
        <v>48.5</v>
      </c>
      <c r="AR54" s="20">
        <v>87.5</v>
      </c>
      <c r="AS54" s="20">
        <v>87.5</v>
      </c>
      <c r="AT54" s="20">
        <f>AT58</f>
        <v>447.5</v>
      </c>
      <c r="AU54" s="20">
        <f>AU58+AU61</f>
        <v>455.5</v>
      </c>
      <c r="AV54" s="20">
        <f>AV58+AV61</f>
        <v>470.18727000000001</v>
      </c>
      <c r="AW54" s="20">
        <f>AW58+AW61</f>
        <v>457.01130999999998</v>
      </c>
      <c r="AX54" s="20">
        <f>AX56+AX57</f>
        <v>0</v>
      </c>
      <c r="AY54" s="20">
        <f>AY56+AY57</f>
        <v>0</v>
      </c>
      <c r="AZ54" s="20">
        <f>AZ56+AZ57</f>
        <v>0</v>
      </c>
      <c r="BA54" s="20">
        <v>0</v>
      </c>
      <c r="BB54" s="20">
        <v>0</v>
      </c>
      <c r="BC54" s="20"/>
      <c r="BD54" s="20">
        <f>BD58</f>
        <v>12.9</v>
      </c>
      <c r="BE54" s="20">
        <f>BE58+BE61+BE57+BE59</f>
        <v>12.93243</v>
      </c>
      <c r="BF54" s="20">
        <f>BF58+BF61+BF57+BF59</f>
        <v>2.9324300000000001</v>
      </c>
      <c r="BG54" s="20">
        <f>BG56+BG57</f>
        <v>0</v>
      </c>
      <c r="BH54" s="20">
        <f>BH56+BH57</f>
        <v>0</v>
      </c>
      <c r="BI54" s="20">
        <f>BI56+BI57</f>
        <v>0</v>
      </c>
      <c r="BJ54" s="20">
        <f t="shared" ref="BJ54:BK54" si="57">BJ56+BJ57</f>
        <v>0</v>
      </c>
      <c r="BK54" s="20">
        <f t="shared" si="57"/>
        <v>0</v>
      </c>
      <c r="BL54" s="20">
        <f>BL58</f>
        <v>14.2</v>
      </c>
      <c r="BM54" s="20">
        <f t="shared" si="6"/>
        <v>14.2</v>
      </c>
      <c r="BN54" s="20">
        <v>100</v>
      </c>
      <c r="BO54" s="20">
        <f>BO56+BO57+BO58</f>
        <v>14.2</v>
      </c>
      <c r="BP54" s="20">
        <f>BP58+BP61+BP57+BP59</f>
        <v>14.168850000000001</v>
      </c>
      <c r="BQ54" s="20">
        <f>BQ58+BQ61+BQ57+BQ59</f>
        <v>-11.844009999999999</v>
      </c>
      <c r="BR54" s="20">
        <v>100</v>
      </c>
      <c r="BS54" s="20">
        <f t="shared" si="54"/>
        <v>99.780633802816908</v>
      </c>
      <c r="BT54" s="20">
        <f t="shared" si="55"/>
        <v>109.56061621829774</v>
      </c>
    </row>
    <row r="55" spans="1:72" s="23" customFormat="1" ht="22.5" hidden="1" customHeight="1" x14ac:dyDescent="0.25">
      <c r="A55" s="10" t="s">
        <v>164</v>
      </c>
      <c r="B55" s="38" t="s">
        <v>165</v>
      </c>
      <c r="C55" s="25"/>
      <c r="D55" s="20"/>
      <c r="E55" s="20"/>
      <c r="F55" s="25"/>
      <c r="G55" s="25"/>
      <c r="H55" s="25">
        <v>10.5</v>
      </c>
      <c r="I55" s="25"/>
      <c r="J55" s="25"/>
      <c r="K55" s="25">
        <v>0</v>
      </c>
      <c r="L55" s="25"/>
      <c r="M55" s="25"/>
      <c r="N55" s="25"/>
      <c r="O55" s="25"/>
      <c r="P55" s="25"/>
      <c r="Q55" s="25">
        <v>0</v>
      </c>
      <c r="R55" s="25"/>
      <c r="S55" s="25"/>
      <c r="T55" s="25"/>
      <c r="U55" s="25">
        <v>0</v>
      </c>
      <c r="V55" s="25"/>
      <c r="W55" s="25"/>
      <c r="X55" s="25"/>
      <c r="Y55" s="25">
        <v>0</v>
      </c>
      <c r="Z55" s="25"/>
      <c r="AA55" s="25"/>
      <c r="AB55" s="25"/>
      <c r="AC55" s="25">
        <v>0</v>
      </c>
      <c r="AD55" s="25"/>
      <c r="AE55" s="25"/>
      <c r="AF55" s="25"/>
      <c r="AG55" s="25">
        <v>0</v>
      </c>
      <c r="AH55" s="25"/>
      <c r="AI55" s="25"/>
      <c r="AJ55" s="25"/>
      <c r="AK55" s="25"/>
      <c r="AL55" s="25"/>
      <c r="AM55" s="25">
        <v>0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>
        <v>0</v>
      </c>
      <c r="AX55" s="25"/>
      <c r="AY55" s="25"/>
      <c r="AZ55" s="25"/>
      <c r="BA55" s="25"/>
      <c r="BB55" s="25"/>
      <c r="BC55" s="25"/>
      <c r="BD55" s="25"/>
      <c r="BE55" s="25"/>
      <c r="BF55" s="25">
        <v>0</v>
      </c>
      <c r="BG55" s="25"/>
      <c r="BH55" s="25"/>
      <c r="BI55" s="25"/>
      <c r="BJ55" s="20"/>
      <c r="BK55" s="27"/>
      <c r="BL55" s="25"/>
      <c r="BM55" s="20">
        <f t="shared" si="6"/>
        <v>0</v>
      </c>
      <c r="BN55" s="20" t="e">
        <f t="shared" si="7"/>
        <v>#DIV/0!</v>
      </c>
      <c r="BO55" s="25"/>
      <c r="BP55" s="25"/>
      <c r="BQ55" s="25">
        <v>0</v>
      </c>
      <c r="BR55" s="25" t="e">
        <f t="shared" ref="BR55:BR62" si="58">BP55/BG55*100</f>
        <v>#DIV/0!</v>
      </c>
      <c r="BS55" s="25" t="e">
        <f t="shared" si="54"/>
        <v>#DIV/0!</v>
      </c>
      <c r="BT55" s="25" t="e">
        <f t="shared" si="55"/>
        <v>#DIV/0!</v>
      </c>
    </row>
    <row r="56" spans="1:72" ht="22.5" hidden="1" customHeight="1" x14ac:dyDescent="0.25">
      <c r="A56" s="10" t="s">
        <v>166</v>
      </c>
      <c r="B56" s="38" t="s">
        <v>167</v>
      </c>
      <c r="C56" s="25">
        <v>1927.8404</v>
      </c>
      <c r="D56" s="25">
        <v>0</v>
      </c>
      <c r="E56" s="25">
        <v>1125</v>
      </c>
      <c r="F56" s="25">
        <v>1124.9659999999999</v>
      </c>
      <c r="G56" s="25">
        <v>0</v>
      </c>
      <c r="H56" s="25">
        <v>0</v>
      </c>
      <c r="I56" s="25">
        <v>10.525</v>
      </c>
      <c r="J56" s="25">
        <v>0</v>
      </c>
      <c r="K56" s="25">
        <v>0</v>
      </c>
      <c r="L56" s="25"/>
      <c r="M56" s="25"/>
      <c r="N56" s="25"/>
      <c r="O56" s="25"/>
      <c r="P56" s="25"/>
      <c r="Q56" s="25">
        <v>0</v>
      </c>
      <c r="R56" s="25"/>
      <c r="S56" s="25"/>
      <c r="T56" s="25"/>
      <c r="U56" s="25">
        <v>0</v>
      </c>
      <c r="V56" s="25"/>
      <c r="W56" s="25"/>
      <c r="X56" s="25"/>
      <c r="Y56" s="25">
        <v>0</v>
      </c>
      <c r="Z56" s="25"/>
      <c r="AA56" s="25"/>
      <c r="AB56" s="25"/>
      <c r="AC56" s="25">
        <v>0</v>
      </c>
      <c r="AD56" s="25"/>
      <c r="AE56" s="25"/>
      <c r="AF56" s="25"/>
      <c r="AG56" s="25">
        <v>0</v>
      </c>
      <c r="AH56" s="25"/>
      <c r="AI56" s="25"/>
      <c r="AJ56" s="25"/>
      <c r="AK56" s="25"/>
      <c r="AL56" s="25"/>
      <c r="AM56" s="25">
        <v>0</v>
      </c>
      <c r="AN56" s="25"/>
      <c r="AO56" s="25"/>
      <c r="AP56" s="25"/>
      <c r="AQ56" s="25"/>
      <c r="AR56" s="25"/>
      <c r="AS56" s="25"/>
      <c r="AT56" s="25"/>
      <c r="AU56" s="25"/>
      <c r="AV56" s="25"/>
      <c r="AW56" s="25">
        <v>0</v>
      </c>
      <c r="AX56" s="25"/>
      <c r="AY56" s="25"/>
      <c r="AZ56" s="25"/>
      <c r="BA56" s="25"/>
      <c r="BB56" s="25"/>
      <c r="BC56" s="25"/>
      <c r="BD56" s="25"/>
      <c r="BE56" s="25"/>
      <c r="BF56" s="25">
        <v>0</v>
      </c>
      <c r="BG56" s="25"/>
      <c r="BH56" s="25"/>
      <c r="BI56" s="25"/>
      <c r="BJ56" s="20"/>
      <c r="BK56" s="27"/>
      <c r="BL56" s="25"/>
      <c r="BM56" s="20">
        <f t="shared" si="6"/>
        <v>0</v>
      </c>
      <c r="BN56" s="20" t="e">
        <f t="shared" si="7"/>
        <v>#DIV/0!</v>
      </c>
      <c r="BO56" s="25"/>
      <c r="BP56" s="25"/>
      <c r="BQ56" s="25">
        <v>0</v>
      </c>
      <c r="BR56" s="25" t="e">
        <f t="shared" si="58"/>
        <v>#DIV/0!</v>
      </c>
      <c r="BS56" s="25" t="e">
        <f t="shared" si="54"/>
        <v>#DIV/0!</v>
      </c>
      <c r="BT56" s="25" t="e">
        <f t="shared" si="55"/>
        <v>#DIV/0!</v>
      </c>
    </row>
    <row r="57" spans="1:72" ht="22.5" hidden="1" customHeight="1" x14ac:dyDescent="0.25">
      <c r="A57" s="10" t="s">
        <v>168</v>
      </c>
      <c r="B57" s="38" t="s">
        <v>169</v>
      </c>
      <c r="C57" s="25">
        <v>20</v>
      </c>
      <c r="D57" s="25">
        <v>0</v>
      </c>
      <c r="E57" s="25">
        <v>0</v>
      </c>
      <c r="F57" s="25">
        <v>0</v>
      </c>
      <c r="G57" s="25">
        <v>0</v>
      </c>
      <c r="H57" s="25">
        <v>15.5</v>
      </c>
      <c r="I57" s="25">
        <v>15.54102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9.0730000000000004</v>
      </c>
      <c r="Q57" s="25">
        <v>9.0730000000000004</v>
      </c>
      <c r="R57" s="25">
        <v>0</v>
      </c>
      <c r="S57" s="25">
        <v>19.3</v>
      </c>
      <c r="T57" s="25">
        <v>19.271999999999998</v>
      </c>
      <c r="U57" s="25">
        <v>89.619780000000006</v>
      </c>
      <c r="V57" s="25">
        <v>0</v>
      </c>
      <c r="W57" s="25">
        <v>83</v>
      </c>
      <c r="X57" s="25">
        <v>88.743709999999993</v>
      </c>
      <c r="Y57" s="25">
        <v>88.543710000000004</v>
      </c>
      <c r="Z57" s="25">
        <v>0</v>
      </c>
      <c r="AA57" s="25">
        <v>16.100000000000001</v>
      </c>
      <c r="AB57" s="25">
        <v>21.044139999999999</v>
      </c>
      <c r="AC57" s="25">
        <v>21.044139999999999</v>
      </c>
      <c r="AD57" s="25">
        <v>0</v>
      </c>
      <c r="AE57" s="25">
        <v>5</v>
      </c>
      <c r="AF57" s="25">
        <v>51.356879999999997</v>
      </c>
      <c r="AG57" s="25">
        <v>5.2</v>
      </c>
      <c r="AH57" s="25">
        <v>0</v>
      </c>
      <c r="AI57" s="25">
        <v>0</v>
      </c>
      <c r="AJ57" s="25">
        <v>0</v>
      </c>
      <c r="AK57" s="25"/>
      <c r="AL57" s="25"/>
      <c r="AM57" s="25"/>
      <c r="AN57" s="25">
        <v>0</v>
      </c>
      <c r="AO57" s="25">
        <v>0</v>
      </c>
      <c r="AP57" s="25">
        <v>0</v>
      </c>
      <c r="AQ57" s="25"/>
      <c r="AR57" s="25"/>
      <c r="AS57" s="25"/>
      <c r="AT57" s="25"/>
      <c r="AU57" s="25"/>
      <c r="AV57" s="25"/>
      <c r="AW57" s="25"/>
      <c r="AX57" s="25">
        <v>0</v>
      </c>
      <c r="AY57" s="25">
        <v>0</v>
      </c>
      <c r="AZ57" s="25">
        <v>0</v>
      </c>
      <c r="BA57" s="25"/>
      <c r="BB57" s="25">
        <v>0</v>
      </c>
      <c r="BC57" s="25"/>
      <c r="BD57" s="25"/>
      <c r="BE57" s="25"/>
      <c r="BF57" s="25">
        <v>-10</v>
      </c>
      <c r="BG57" s="25">
        <v>0</v>
      </c>
      <c r="BH57" s="25">
        <v>0</v>
      </c>
      <c r="BI57" s="25">
        <v>0</v>
      </c>
      <c r="BJ57" s="20"/>
      <c r="BK57" s="27"/>
      <c r="BL57" s="25"/>
      <c r="BM57" s="20">
        <f t="shared" si="6"/>
        <v>0</v>
      </c>
      <c r="BN57" s="20" t="e">
        <f t="shared" si="7"/>
        <v>#DIV/0!</v>
      </c>
      <c r="BO57" s="25">
        <v>0</v>
      </c>
      <c r="BP57" s="25"/>
      <c r="BQ57" s="25">
        <v>-10</v>
      </c>
      <c r="BR57" s="25" t="e">
        <f t="shared" si="58"/>
        <v>#DIV/0!</v>
      </c>
      <c r="BS57" s="25" t="e">
        <f t="shared" si="54"/>
        <v>#DIV/0!</v>
      </c>
      <c r="BT57" s="25" t="e">
        <f t="shared" si="55"/>
        <v>#DIV/0!</v>
      </c>
    </row>
    <row r="58" spans="1:72" ht="33.75" hidden="1" customHeight="1" x14ac:dyDescent="0.25">
      <c r="A58" s="10" t="s">
        <v>170</v>
      </c>
      <c r="B58" s="38" t="s">
        <v>171</v>
      </c>
      <c r="C58" s="25">
        <v>30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53</v>
      </c>
      <c r="Q58" s="25">
        <v>53</v>
      </c>
      <c r="R58" s="25">
        <v>0</v>
      </c>
      <c r="S58" s="25">
        <v>30</v>
      </c>
      <c r="T58" s="25">
        <v>30</v>
      </c>
      <c r="U58" s="25">
        <v>30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60</v>
      </c>
      <c r="AF58" s="25">
        <v>60</v>
      </c>
      <c r="AG58" s="25">
        <v>106.15688</v>
      </c>
      <c r="AH58" s="25">
        <v>0</v>
      </c>
      <c r="AI58" s="25">
        <v>0</v>
      </c>
      <c r="AJ58" s="25">
        <v>0</v>
      </c>
      <c r="AK58" s="25">
        <v>102.8</v>
      </c>
      <c r="AL58" s="25">
        <v>102.82123</v>
      </c>
      <c r="AM58" s="25">
        <v>45.649410000000003</v>
      </c>
      <c r="AN58" s="25">
        <v>0</v>
      </c>
      <c r="AO58" s="25">
        <v>0</v>
      </c>
      <c r="AP58" s="25">
        <v>0</v>
      </c>
      <c r="AQ58" s="25"/>
      <c r="AR58" s="25"/>
      <c r="AS58" s="25"/>
      <c r="AT58" s="25">
        <v>447.5</v>
      </c>
      <c r="AU58" s="25">
        <v>95.5</v>
      </c>
      <c r="AV58" s="25">
        <v>110.18727</v>
      </c>
      <c r="AW58" s="25">
        <v>97.011309999999995</v>
      </c>
      <c r="AX58" s="25">
        <v>0</v>
      </c>
      <c r="AY58" s="25">
        <v>0</v>
      </c>
      <c r="AZ58" s="25">
        <v>0</v>
      </c>
      <c r="BA58" s="25"/>
      <c r="BB58" s="25">
        <v>0</v>
      </c>
      <c r="BC58" s="25"/>
      <c r="BD58" s="25">
        <v>12.9</v>
      </c>
      <c r="BE58" s="25">
        <v>12.93243</v>
      </c>
      <c r="BF58" s="25">
        <v>28.94529</v>
      </c>
      <c r="BG58" s="25">
        <v>0</v>
      </c>
      <c r="BH58" s="25">
        <v>0</v>
      </c>
      <c r="BI58" s="25">
        <v>0</v>
      </c>
      <c r="BJ58" s="20">
        <v>14.2</v>
      </c>
      <c r="BK58" s="27">
        <v>14.2</v>
      </c>
      <c r="BL58" s="25">
        <v>14.2</v>
      </c>
      <c r="BM58" s="20">
        <f t="shared" si="6"/>
        <v>14.2</v>
      </c>
      <c r="BN58" s="20" t="e">
        <f t="shared" si="7"/>
        <v>#DIV/0!</v>
      </c>
      <c r="BO58" s="25">
        <v>14.2</v>
      </c>
      <c r="BP58" s="25">
        <v>14.168850000000001</v>
      </c>
      <c r="BQ58" s="25">
        <v>14.168850000000001</v>
      </c>
      <c r="BR58" s="25" t="e">
        <f t="shared" si="58"/>
        <v>#DIV/0!</v>
      </c>
      <c r="BS58" s="25">
        <f t="shared" si="54"/>
        <v>99.780633802816908</v>
      </c>
      <c r="BT58" s="25">
        <f t="shared" si="55"/>
        <v>109.56061621829774</v>
      </c>
    </row>
    <row r="59" spans="1:72" ht="33.75" hidden="1" customHeight="1" x14ac:dyDescent="0.25">
      <c r="A59" s="10" t="s">
        <v>172</v>
      </c>
      <c r="B59" s="38" t="s">
        <v>173</v>
      </c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>
        <v>-16.01286</v>
      </c>
      <c r="BG59" s="25"/>
      <c r="BH59" s="25"/>
      <c r="BI59" s="25"/>
      <c r="BJ59" s="20"/>
      <c r="BK59" s="27"/>
      <c r="BL59" s="25"/>
      <c r="BM59" s="20">
        <f t="shared" si="6"/>
        <v>0</v>
      </c>
      <c r="BN59" s="20" t="e">
        <f t="shared" si="7"/>
        <v>#DIV/0!</v>
      </c>
      <c r="BO59" s="25"/>
      <c r="BP59" s="25"/>
      <c r="BQ59" s="25">
        <v>-16.01286</v>
      </c>
      <c r="BR59" s="25" t="e">
        <f t="shared" si="58"/>
        <v>#DIV/0!</v>
      </c>
      <c r="BS59" s="25" t="e">
        <f t="shared" si="54"/>
        <v>#DIV/0!</v>
      </c>
      <c r="BT59" s="25" t="e">
        <f t="shared" si="55"/>
        <v>#DIV/0!</v>
      </c>
    </row>
    <row r="60" spans="1:72" ht="22.5" hidden="1" customHeight="1" x14ac:dyDescent="0.25">
      <c r="A60" s="10" t="s">
        <v>174</v>
      </c>
      <c r="B60" s="38" t="s">
        <v>175</v>
      </c>
      <c r="C60" s="25"/>
      <c r="D60" s="25"/>
      <c r="E60" s="25"/>
      <c r="F60" s="25"/>
      <c r="G60" s="25"/>
      <c r="H60" s="25">
        <v>11.7</v>
      </c>
      <c r="I60" s="25">
        <v>11.7</v>
      </c>
      <c r="J60" s="25"/>
      <c r="K60" s="25">
        <v>0</v>
      </c>
      <c r="L60" s="25"/>
      <c r="M60" s="25">
        <v>0</v>
      </c>
      <c r="N60" s="25"/>
      <c r="O60" s="25"/>
      <c r="P60" s="25"/>
      <c r="Q60" s="25">
        <v>0</v>
      </c>
      <c r="R60" s="25"/>
      <c r="S60" s="25"/>
      <c r="T60" s="25"/>
      <c r="U60" s="25">
        <v>0</v>
      </c>
      <c r="V60" s="25"/>
      <c r="W60" s="25"/>
      <c r="X60" s="25"/>
      <c r="Y60" s="25">
        <v>0</v>
      </c>
      <c r="Z60" s="25"/>
      <c r="AA60" s="25"/>
      <c r="AB60" s="25"/>
      <c r="AC60" s="25">
        <v>0</v>
      </c>
      <c r="AD60" s="25"/>
      <c r="AE60" s="25"/>
      <c r="AF60" s="25"/>
      <c r="AG60" s="25">
        <v>0</v>
      </c>
      <c r="AH60" s="25"/>
      <c r="AI60" s="25"/>
      <c r="AJ60" s="25"/>
      <c r="AK60" s="25"/>
      <c r="AL60" s="25"/>
      <c r="AM60" s="25">
        <v>0</v>
      </c>
      <c r="AN60" s="25"/>
      <c r="AO60" s="25"/>
      <c r="AP60" s="25"/>
      <c r="AQ60" s="25"/>
      <c r="AR60" s="25"/>
      <c r="AS60" s="25"/>
      <c r="AT60" s="25"/>
      <c r="AU60" s="25"/>
      <c r="AV60" s="25"/>
      <c r="AW60" s="25">
        <v>0</v>
      </c>
      <c r="AX60" s="25"/>
      <c r="AY60" s="25"/>
      <c r="AZ60" s="25"/>
      <c r="BA60" s="25"/>
      <c r="BB60" s="25"/>
      <c r="BC60" s="25"/>
      <c r="BD60" s="25"/>
      <c r="BE60" s="25"/>
      <c r="BF60" s="25">
        <v>0</v>
      </c>
      <c r="BG60" s="25"/>
      <c r="BH60" s="25"/>
      <c r="BI60" s="25"/>
      <c r="BJ60" s="20"/>
      <c r="BK60" s="27"/>
      <c r="BL60" s="25"/>
      <c r="BM60" s="20">
        <f t="shared" si="6"/>
        <v>0</v>
      </c>
      <c r="BN60" s="20" t="e">
        <f t="shared" si="7"/>
        <v>#DIV/0!</v>
      </c>
      <c r="BO60" s="25"/>
      <c r="BP60" s="25"/>
      <c r="BQ60" s="25">
        <v>0</v>
      </c>
      <c r="BR60" s="25" t="e">
        <f t="shared" si="58"/>
        <v>#DIV/0!</v>
      </c>
      <c r="BS60" s="25" t="e">
        <f t="shared" si="54"/>
        <v>#DIV/0!</v>
      </c>
      <c r="BT60" s="25" t="e">
        <f t="shared" si="55"/>
        <v>#DIV/0!</v>
      </c>
    </row>
    <row r="61" spans="1:72" ht="25.5" hidden="1" customHeight="1" x14ac:dyDescent="0.25">
      <c r="A61" s="10" t="s">
        <v>176</v>
      </c>
      <c r="B61" s="38" t="s">
        <v>177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>
        <v>360</v>
      </c>
      <c r="AV61" s="25">
        <v>360</v>
      </c>
      <c r="AW61" s="25">
        <v>360</v>
      </c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0"/>
      <c r="BK61" s="27"/>
      <c r="BL61" s="25"/>
      <c r="BM61" s="20">
        <f t="shared" si="6"/>
        <v>0</v>
      </c>
      <c r="BN61" s="20" t="e">
        <f t="shared" si="7"/>
        <v>#DIV/0!</v>
      </c>
      <c r="BO61" s="25"/>
      <c r="BP61" s="25"/>
      <c r="BQ61" s="25"/>
      <c r="BR61" s="25" t="e">
        <f t="shared" si="58"/>
        <v>#DIV/0!</v>
      </c>
      <c r="BS61" s="25" t="e">
        <f t="shared" si="54"/>
        <v>#DIV/0!</v>
      </c>
      <c r="BT61" s="25" t="e">
        <f t="shared" si="55"/>
        <v>#DIV/0!</v>
      </c>
    </row>
    <row r="62" spans="1:72" ht="22.5" hidden="1" customHeight="1" x14ac:dyDescent="0.25">
      <c r="A62" s="10"/>
      <c r="B62" s="38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0"/>
      <c r="BK62" s="27"/>
      <c r="BL62" s="25"/>
      <c r="BM62" s="20">
        <f t="shared" si="6"/>
        <v>0</v>
      </c>
      <c r="BN62" s="20" t="e">
        <f t="shared" si="7"/>
        <v>#DIV/0!</v>
      </c>
      <c r="BO62" s="25"/>
      <c r="BP62" s="25"/>
      <c r="BQ62" s="25"/>
      <c r="BR62" s="25" t="e">
        <f t="shared" si="58"/>
        <v>#DIV/0!</v>
      </c>
      <c r="BS62" s="25" t="e">
        <f t="shared" si="54"/>
        <v>#DIV/0!</v>
      </c>
      <c r="BT62" s="25" t="e">
        <f t="shared" si="55"/>
        <v>#DIV/0!</v>
      </c>
    </row>
    <row r="63" spans="1:72" s="37" customFormat="1" ht="24.75" customHeight="1" x14ac:dyDescent="0.25">
      <c r="A63" s="18" t="s">
        <v>178</v>
      </c>
      <c r="B63" s="40" t="s">
        <v>179</v>
      </c>
      <c r="C63" s="20">
        <v>0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>
        <f>0.2/1000</f>
        <v>2.0000000000000001E-4</v>
      </c>
      <c r="M63" s="20">
        <f>0.2/1000</f>
        <v>2.0000000000000001E-4</v>
      </c>
      <c r="N63" s="20">
        <v>0</v>
      </c>
      <c r="O63" s="20">
        <v>0</v>
      </c>
      <c r="P63" s="20">
        <f>0.2/1000</f>
        <v>2.0000000000000001E-4</v>
      </c>
      <c r="Q63" s="20">
        <f>0.2/1000</f>
        <v>2.0000000000000001E-4</v>
      </c>
      <c r="R63" s="20">
        <v>0</v>
      </c>
      <c r="S63" s="20">
        <v>0</v>
      </c>
      <c r="T63" s="20">
        <f>0.2/1000</f>
        <v>2.0000000000000001E-4</v>
      </c>
      <c r="U63" s="20">
        <f>0.2/1000</f>
        <v>2.0000000000000001E-4</v>
      </c>
      <c r="V63" s="20">
        <v>0</v>
      </c>
      <c r="W63" s="20">
        <v>0</v>
      </c>
      <c r="X63" s="20">
        <f>0.2/1000</f>
        <v>2.0000000000000001E-4</v>
      </c>
      <c r="Y63" s="20">
        <f>0.2/1000</f>
        <v>2.0000000000000001E-4</v>
      </c>
      <c r="Z63" s="20">
        <v>0</v>
      </c>
      <c r="AA63" s="20">
        <v>0</v>
      </c>
      <c r="AB63" s="20">
        <v>37.012889999999999</v>
      </c>
      <c r="AC63" s="20">
        <v>37.012889999999999</v>
      </c>
      <c r="AD63" s="20">
        <v>0</v>
      </c>
      <c r="AE63" s="20">
        <v>0</v>
      </c>
      <c r="AF63" s="20">
        <v>-37.012889999999999</v>
      </c>
      <c r="AG63" s="20">
        <v>-37.012889999999999</v>
      </c>
      <c r="AH63" s="20">
        <v>0</v>
      </c>
      <c r="AI63" s="20">
        <v>0</v>
      </c>
      <c r="AJ63" s="20">
        <v>0</v>
      </c>
      <c r="AK63" s="20">
        <v>0</v>
      </c>
      <c r="AL63" s="20">
        <v>4.1870000000000003</v>
      </c>
      <c r="AM63" s="20">
        <f>AM66</f>
        <v>79481.023929999996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-4.1870000000000003</v>
      </c>
      <c r="AW63" s="20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/>
      <c r="BD63" s="20"/>
      <c r="BE63" s="20">
        <v>8.4727399999999999</v>
      </c>
      <c r="BF63" s="20">
        <f>BF66</f>
        <v>935</v>
      </c>
      <c r="BG63" s="20">
        <v>0</v>
      </c>
      <c r="BH63" s="20">
        <v>0</v>
      </c>
      <c r="BI63" s="20">
        <v>0</v>
      </c>
      <c r="BJ63" s="20"/>
      <c r="BK63" s="27">
        <v>505.7</v>
      </c>
      <c r="BL63" s="20">
        <f>BL65</f>
        <v>355.7</v>
      </c>
      <c r="BM63" s="20">
        <f t="shared" si="6"/>
        <v>355.7</v>
      </c>
      <c r="BN63" s="20">
        <v>100</v>
      </c>
      <c r="BO63" s="20">
        <f>-8.5+355.7</f>
        <v>347.2</v>
      </c>
      <c r="BP63" s="20">
        <f>BP64+BP65</f>
        <v>347.22726</v>
      </c>
      <c r="BQ63" s="20">
        <f>BQ64+BQ65</f>
        <v>355.7</v>
      </c>
      <c r="BR63" s="20">
        <v>100</v>
      </c>
      <c r="BS63" s="20">
        <f t="shared" si="54"/>
        <v>97.618009558616819</v>
      </c>
      <c r="BT63" s="20">
        <f t="shared" si="55"/>
        <v>4098.1696594017994</v>
      </c>
    </row>
    <row r="64" spans="1:72" s="41" customFormat="1" ht="24.75" hidden="1" customHeight="1" x14ac:dyDescent="0.25">
      <c r="A64" s="10" t="s">
        <v>180</v>
      </c>
      <c r="B64" s="38" t="s">
        <v>181</v>
      </c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6"/>
      <c r="BL64" s="25"/>
      <c r="BM64" s="20">
        <f t="shared" si="6"/>
        <v>0</v>
      </c>
      <c r="BN64" s="20" t="e">
        <f t="shared" si="7"/>
        <v>#DIV/0!</v>
      </c>
      <c r="BO64" s="25"/>
      <c r="BP64" s="25">
        <v>-8.4727399999999999</v>
      </c>
      <c r="BQ64" s="25"/>
      <c r="BR64" s="25" t="e">
        <f>BP64/BG64*100</f>
        <v>#DIV/0!</v>
      </c>
      <c r="BS64" s="25" t="e">
        <f t="shared" si="54"/>
        <v>#DIV/0!</v>
      </c>
      <c r="BT64" s="25" t="e">
        <f t="shared" si="55"/>
        <v>#DIV/0!</v>
      </c>
    </row>
    <row r="65" spans="1:72" s="41" customFormat="1" ht="24.75" hidden="1" customHeight="1" x14ac:dyDescent="0.25">
      <c r="A65" s="10" t="s">
        <v>182</v>
      </c>
      <c r="B65" s="38" t="s">
        <v>183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6"/>
      <c r="BL65" s="25">
        <v>355.7</v>
      </c>
      <c r="BM65" s="20">
        <f t="shared" si="6"/>
        <v>355.7</v>
      </c>
      <c r="BN65" s="20" t="e">
        <f t="shared" si="7"/>
        <v>#DIV/0!</v>
      </c>
      <c r="BO65" s="25"/>
      <c r="BP65" s="25">
        <v>355.7</v>
      </c>
      <c r="BQ65" s="25">
        <v>355.7</v>
      </c>
      <c r="BR65" s="25" t="e">
        <f>BP65/BG65*100</f>
        <v>#DIV/0!</v>
      </c>
      <c r="BS65" s="25">
        <f t="shared" si="54"/>
        <v>100</v>
      </c>
      <c r="BT65" s="25" t="e">
        <f t="shared" si="55"/>
        <v>#DIV/0!</v>
      </c>
    </row>
    <row r="66" spans="1:72" s="37" customFormat="1" ht="22.5" hidden="1" customHeight="1" x14ac:dyDescent="0.25">
      <c r="A66" s="18" t="s">
        <v>184</v>
      </c>
      <c r="B66" s="4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>
        <v>79481.023929999996</v>
      </c>
      <c r="AN66" s="20"/>
      <c r="AO66" s="20"/>
      <c r="AP66" s="20"/>
      <c r="AQ66" s="20"/>
      <c r="AR66" s="20"/>
      <c r="AS66" s="20"/>
      <c r="AT66" s="20"/>
      <c r="AU66" s="20"/>
      <c r="AV66" s="20"/>
      <c r="AW66" s="20">
        <v>79481.023929999996</v>
      </c>
      <c r="AX66" s="20"/>
      <c r="AY66" s="20"/>
      <c r="AZ66" s="20"/>
      <c r="BA66" s="20"/>
      <c r="BB66" s="20"/>
      <c r="BC66" s="20"/>
      <c r="BD66" s="20"/>
      <c r="BE66" s="20"/>
      <c r="BF66" s="20">
        <v>935</v>
      </c>
      <c r="BG66" s="20"/>
      <c r="BH66" s="20"/>
      <c r="BI66" s="20"/>
      <c r="BJ66" s="20"/>
      <c r="BK66" s="27"/>
      <c r="BL66" s="20"/>
      <c r="BM66" s="20">
        <f t="shared" si="6"/>
        <v>0</v>
      </c>
      <c r="BN66" s="20" t="e">
        <f t="shared" si="7"/>
        <v>#DIV/0!</v>
      </c>
      <c r="BO66" s="20"/>
      <c r="BP66" s="20"/>
      <c r="BQ66" s="20">
        <v>935</v>
      </c>
      <c r="BR66" s="20" t="e">
        <f>BP66/BG66*100</f>
        <v>#DIV/0!</v>
      </c>
      <c r="BS66" s="20" t="e">
        <f t="shared" si="54"/>
        <v>#DIV/0!</v>
      </c>
      <c r="BT66" s="20" t="e">
        <f t="shared" si="55"/>
        <v>#DIV/0!</v>
      </c>
    </row>
    <row r="67" spans="1:72" ht="22.5" customHeight="1" x14ac:dyDescent="0.25">
      <c r="A67" s="18" t="s">
        <v>185</v>
      </c>
      <c r="B67" s="19" t="s">
        <v>186</v>
      </c>
      <c r="C67" s="20">
        <f t="shared" ref="C67:BL67" si="59">C69+C124+C119</f>
        <v>31417.117000000002</v>
      </c>
      <c r="D67" s="20">
        <f t="shared" si="59"/>
        <v>25706.600000000002</v>
      </c>
      <c r="E67" s="20">
        <f t="shared" si="59"/>
        <v>50784.3</v>
      </c>
      <c r="F67" s="20">
        <f t="shared" si="59"/>
        <v>47549.112650000003</v>
      </c>
      <c r="G67" s="20">
        <f t="shared" si="59"/>
        <v>27846.400000000001</v>
      </c>
      <c r="H67" s="20">
        <f t="shared" si="59"/>
        <v>37875.700000000004</v>
      </c>
      <c r="I67" s="20">
        <f t="shared" si="59"/>
        <v>37873.657959999997</v>
      </c>
      <c r="J67" s="20">
        <f t="shared" si="59"/>
        <v>28847.9</v>
      </c>
      <c r="K67" s="20">
        <f t="shared" si="59"/>
        <v>36280.5</v>
      </c>
      <c r="L67" s="20">
        <f t="shared" si="59"/>
        <v>36267.998719999996</v>
      </c>
      <c r="M67" s="20">
        <f t="shared" si="59"/>
        <v>142383.83863000001</v>
      </c>
      <c r="N67" s="20">
        <f t="shared" si="59"/>
        <v>29131.300000000003</v>
      </c>
      <c r="O67" s="20">
        <f t="shared" si="59"/>
        <v>42550.9</v>
      </c>
      <c r="P67" s="20">
        <f t="shared" si="59"/>
        <v>42159.500910000002</v>
      </c>
      <c r="Q67" s="20">
        <f t="shared" si="59"/>
        <v>194224.14927000002</v>
      </c>
      <c r="R67" s="20">
        <f t="shared" si="59"/>
        <v>41274.400000000001</v>
      </c>
      <c r="S67" s="20">
        <f t="shared" si="59"/>
        <v>43804.2</v>
      </c>
      <c r="T67" s="20">
        <f t="shared" si="59"/>
        <v>43804.127990000001</v>
      </c>
      <c r="U67" s="20">
        <f t="shared" si="59"/>
        <v>118346.59461</v>
      </c>
      <c r="V67" s="20">
        <f t="shared" si="59"/>
        <v>29644.3</v>
      </c>
      <c r="W67" s="20">
        <f t="shared" si="59"/>
        <v>56685.3</v>
      </c>
      <c r="X67" s="20">
        <f t="shared" si="59"/>
        <v>56600.923360000001</v>
      </c>
      <c r="Y67" s="20">
        <f t="shared" si="59"/>
        <v>196067.09779999999</v>
      </c>
      <c r="Z67" s="20">
        <f t="shared" si="59"/>
        <v>28989</v>
      </c>
      <c r="AA67" s="20">
        <f t="shared" si="59"/>
        <v>37510.14</v>
      </c>
      <c r="AB67" s="20">
        <f t="shared" si="59"/>
        <v>37510.149740000001</v>
      </c>
      <c r="AC67" s="20">
        <f t="shared" si="59"/>
        <v>210541.60527</v>
      </c>
      <c r="AD67" s="20">
        <f t="shared" si="59"/>
        <v>29590.899999999998</v>
      </c>
      <c r="AE67" s="20">
        <f t="shared" si="59"/>
        <v>39042.899999999994</v>
      </c>
      <c r="AF67" s="20">
        <f t="shared" si="59"/>
        <v>39042.954549999995</v>
      </c>
      <c r="AG67" s="20">
        <f t="shared" si="59"/>
        <v>98672.852529999989</v>
      </c>
      <c r="AH67" s="20">
        <f t="shared" si="59"/>
        <v>32823.700000000004</v>
      </c>
      <c r="AI67" s="20">
        <f t="shared" si="59"/>
        <v>32024</v>
      </c>
      <c r="AJ67" s="20">
        <f t="shared" si="59"/>
        <v>32001.1</v>
      </c>
      <c r="AK67" s="20">
        <f t="shared" si="59"/>
        <v>78336.299999999988</v>
      </c>
      <c r="AL67" s="20">
        <f t="shared" si="59"/>
        <v>78336.312600000005</v>
      </c>
      <c r="AM67" s="20">
        <f t="shared" si="59"/>
        <v>165717.15621000002</v>
      </c>
      <c r="AN67" s="20">
        <f t="shared" si="59"/>
        <v>29090.100000000002</v>
      </c>
      <c r="AO67" s="20">
        <f t="shared" si="59"/>
        <v>29090.100000000002</v>
      </c>
      <c r="AP67" s="20">
        <f t="shared" si="59"/>
        <v>29090.100000000002</v>
      </c>
      <c r="AQ67" s="20">
        <f t="shared" si="59"/>
        <v>43318</v>
      </c>
      <c r="AR67" s="20">
        <f t="shared" si="59"/>
        <v>47445.8</v>
      </c>
      <c r="AS67" s="20">
        <f t="shared" si="59"/>
        <v>41408.5</v>
      </c>
      <c r="AT67" s="20">
        <f t="shared" si="59"/>
        <v>44033.200000000004</v>
      </c>
      <c r="AU67" s="20">
        <f t="shared" si="59"/>
        <v>50260.200000000004</v>
      </c>
      <c r="AV67" s="20">
        <f t="shared" si="59"/>
        <v>50071.069930000005</v>
      </c>
      <c r="AW67" s="20">
        <f t="shared" si="59"/>
        <v>88112.027549999999</v>
      </c>
      <c r="AX67" s="20">
        <f t="shared" si="59"/>
        <v>41406.800000000003</v>
      </c>
      <c r="AY67" s="20">
        <f t="shared" si="59"/>
        <v>25606.200000000004</v>
      </c>
      <c r="AZ67" s="20">
        <f t="shared" si="59"/>
        <v>25562.5</v>
      </c>
      <c r="BA67" s="20">
        <f t="shared" si="59"/>
        <v>45206.100000000006</v>
      </c>
      <c r="BB67" s="20">
        <f t="shared" si="59"/>
        <v>50765.900000000009</v>
      </c>
      <c r="BC67" s="20">
        <f t="shared" si="59"/>
        <v>38049.800000000003</v>
      </c>
      <c r="BD67" s="20">
        <f t="shared" si="59"/>
        <v>62120.4</v>
      </c>
      <c r="BE67" s="20">
        <f t="shared" si="59"/>
        <v>62115.89837000001</v>
      </c>
      <c r="BF67" s="20">
        <f t="shared" si="59"/>
        <v>126366.49091000001</v>
      </c>
      <c r="BG67" s="20">
        <f t="shared" si="59"/>
        <v>38065.300000000003</v>
      </c>
      <c r="BH67" s="20">
        <f t="shared" si="59"/>
        <v>30087.200000000001</v>
      </c>
      <c r="BI67" s="20">
        <f t="shared" si="59"/>
        <v>29835.5</v>
      </c>
      <c r="BJ67" s="20">
        <f t="shared" si="59"/>
        <v>39849.300000000003</v>
      </c>
      <c r="BK67" s="20">
        <f t="shared" si="59"/>
        <v>59502.2</v>
      </c>
      <c r="BL67" s="20">
        <f t="shared" si="59"/>
        <v>71905.8</v>
      </c>
      <c r="BM67" s="20">
        <f t="shared" si="6"/>
        <v>33840.5</v>
      </c>
      <c r="BN67" s="20">
        <f t="shared" si="7"/>
        <v>188.90117771303522</v>
      </c>
      <c r="BO67" s="20">
        <f>BO69+BO124+BO119</f>
        <v>68788.100000000006</v>
      </c>
      <c r="BP67" s="20">
        <f>BP69+BP124+BP119</f>
        <v>71905.772979999994</v>
      </c>
      <c r="BQ67" s="20">
        <f>BQ69+BQ124+BQ119</f>
        <v>86504.761659999989</v>
      </c>
      <c r="BR67" s="20">
        <f>BP67/BG67*100</f>
        <v>188.90110672975123</v>
      </c>
      <c r="BS67" s="20">
        <f t="shared" si="54"/>
        <v>99.999962423059046</v>
      </c>
      <c r="BT67" s="20">
        <f t="shared" si="55"/>
        <v>115.7606584898532</v>
      </c>
    </row>
    <row r="68" spans="1:72" ht="13.5" customHeight="1" x14ac:dyDescent="0.25">
      <c r="A68" s="18"/>
      <c r="B68" s="19" t="s">
        <v>80</v>
      </c>
      <c r="C68" s="20">
        <f t="shared" ref="C68:BL68" si="60">C67/C125*100</f>
        <v>66.060602194579047</v>
      </c>
      <c r="D68" s="20">
        <f t="shared" si="60"/>
        <v>65.780100103378743</v>
      </c>
      <c r="E68" s="20">
        <f t="shared" si="60"/>
        <v>77.613502811302666</v>
      </c>
      <c r="F68" s="20">
        <f t="shared" si="60"/>
        <v>77.551368705999593</v>
      </c>
      <c r="G68" s="20">
        <f t="shared" si="60"/>
        <v>64.598474954125678</v>
      </c>
      <c r="H68" s="20">
        <f t="shared" si="60"/>
        <v>71.280407706986949</v>
      </c>
      <c r="I68" s="20">
        <f t="shared" si="60"/>
        <v>72.385512978301577</v>
      </c>
      <c r="J68" s="20">
        <f t="shared" si="60"/>
        <v>66.432466539549196</v>
      </c>
      <c r="K68" s="20">
        <f t="shared" si="60"/>
        <v>71.338262186129739</v>
      </c>
      <c r="L68" s="20">
        <f t="shared" si="60"/>
        <v>72.165057943186099</v>
      </c>
      <c r="M68" s="20">
        <f t="shared" si="60"/>
        <v>91.059115308198272</v>
      </c>
      <c r="N68" s="20">
        <f t="shared" si="60"/>
        <v>65.77354409430508</v>
      </c>
      <c r="O68" s="20">
        <f t="shared" si="60"/>
        <v>74.899183079303441</v>
      </c>
      <c r="P68" s="20">
        <f t="shared" si="60"/>
        <v>76.195981787984721</v>
      </c>
      <c r="Q68" s="20">
        <f t="shared" si="60"/>
        <v>118.79579633903872</v>
      </c>
      <c r="R68" s="20">
        <f t="shared" si="60"/>
        <v>75.147657507410187</v>
      </c>
      <c r="S68" s="20">
        <f t="shared" si="60"/>
        <v>74.00108119066121</v>
      </c>
      <c r="T68" s="20">
        <f t="shared" si="60"/>
        <v>73.924579453938506</v>
      </c>
      <c r="U68" s="20">
        <f t="shared" si="60"/>
        <v>94.487312627188729</v>
      </c>
      <c r="V68" s="20">
        <f t="shared" si="60"/>
        <v>61.246906113962197</v>
      </c>
      <c r="W68" s="20">
        <f t="shared" si="60"/>
        <v>74.804330010913446</v>
      </c>
      <c r="X68" s="20">
        <f t="shared" si="60"/>
        <v>74.618909519773041</v>
      </c>
      <c r="Y68" s="20">
        <f t="shared" si="60"/>
        <v>91.074967252064326</v>
      </c>
      <c r="Z68" s="20">
        <f t="shared" si="60"/>
        <v>61.187011547924584</v>
      </c>
      <c r="AA68" s="20">
        <f t="shared" si="60"/>
        <v>64.627594139534438</v>
      </c>
      <c r="AB68" s="20">
        <f t="shared" si="60"/>
        <v>63.130730125005428</v>
      </c>
      <c r="AC68" s="20">
        <f t="shared" si="60"/>
        <v>89.726644295680927</v>
      </c>
      <c r="AD68" s="20">
        <f t="shared" si="60"/>
        <v>59.600070901665028</v>
      </c>
      <c r="AE68" s="20">
        <f t="shared" si="60"/>
        <v>63.892470936321729</v>
      </c>
      <c r="AF68" s="20">
        <f t="shared" si="60"/>
        <v>63.363031124362692</v>
      </c>
      <c r="AG68" s="20">
        <f t="shared" si="60"/>
        <v>110.55898125185561</v>
      </c>
      <c r="AH68" s="20">
        <f t="shared" si="60"/>
        <v>60.547594754965459</v>
      </c>
      <c r="AI68" s="20">
        <f t="shared" si="60"/>
        <v>60.078266075639732</v>
      </c>
      <c r="AJ68" s="20">
        <f t="shared" si="60"/>
        <v>60.020554071198553</v>
      </c>
      <c r="AK68" s="20">
        <f t="shared" si="60"/>
        <v>77.633022449628811</v>
      </c>
      <c r="AL68" s="20">
        <f t="shared" si="60"/>
        <v>77.574925266457058</v>
      </c>
      <c r="AM68" s="20">
        <f t="shared" si="60"/>
        <v>61.860531634428703</v>
      </c>
      <c r="AN68" s="20">
        <f t="shared" si="60"/>
        <v>55.978022350418058</v>
      </c>
      <c r="AO68" s="20">
        <f t="shared" si="60"/>
        <v>55.971559992633956</v>
      </c>
      <c r="AP68" s="20">
        <f t="shared" si="60"/>
        <v>55.965099126765629</v>
      </c>
      <c r="AQ68" s="20">
        <f t="shared" si="60"/>
        <v>64.90229745562857</v>
      </c>
      <c r="AR68" s="20">
        <f t="shared" si="60"/>
        <v>66.822435171570703</v>
      </c>
      <c r="AS68" s="20">
        <f t="shared" si="60"/>
        <v>63.001608189136427</v>
      </c>
      <c r="AT68" s="20">
        <f t="shared" si="60"/>
        <v>63.804765520399229</v>
      </c>
      <c r="AU68" s="20">
        <f t="shared" si="60"/>
        <v>65.911818049484808</v>
      </c>
      <c r="AV68" s="20">
        <f t="shared" si="60"/>
        <v>64.628134249696387</v>
      </c>
      <c r="AW68" s="20">
        <f t="shared" si="60"/>
        <v>82.11832192797506</v>
      </c>
      <c r="AX68" s="20">
        <f t="shared" si="60"/>
        <v>62.466318598973245</v>
      </c>
      <c r="AY68" s="20">
        <f t="shared" si="60"/>
        <v>50.266976681835573</v>
      </c>
      <c r="AZ68" s="20">
        <f t="shared" si="60"/>
        <v>50.165138228497376</v>
      </c>
      <c r="BA68" s="20">
        <f t="shared" si="60"/>
        <v>63.489395050180754</v>
      </c>
      <c r="BB68" s="20">
        <f t="shared" si="60"/>
        <v>65.268158471596365</v>
      </c>
      <c r="BC68" s="20">
        <f t="shared" si="60"/>
        <v>56.610690475517423</v>
      </c>
      <c r="BD68" s="20">
        <f t="shared" si="60"/>
        <v>66.989317580376962</v>
      </c>
      <c r="BE68" s="20">
        <f t="shared" si="60"/>
        <v>66.254524646070507</v>
      </c>
      <c r="BF68" s="20">
        <f t="shared" si="60"/>
        <v>95.711513887531808</v>
      </c>
      <c r="BG68" s="20">
        <f t="shared" si="60"/>
        <v>58.500078108322938</v>
      </c>
      <c r="BH68" s="20">
        <f t="shared" si="60"/>
        <v>52.287734350481287</v>
      </c>
      <c r="BI68" s="20">
        <f t="shared" si="60"/>
        <v>51.828604461068053</v>
      </c>
      <c r="BJ68" s="20">
        <f t="shared" si="60"/>
        <v>59.157470005077087</v>
      </c>
      <c r="BK68" s="20">
        <f t="shared" si="60"/>
        <v>67.986974405850091</v>
      </c>
      <c r="BL68" s="20">
        <f t="shared" si="60"/>
        <v>69.312741044773958</v>
      </c>
      <c r="BM68" s="20"/>
      <c r="BN68" s="20"/>
      <c r="BO68" s="20">
        <f>BO67/BO125*100</f>
        <v>67.243712307827508</v>
      </c>
      <c r="BP68" s="20">
        <f>BP67/BP125*100</f>
        <v>67.618162176500675</v>
      </c>
      <c r="BQ68" s="20">
        <f>BQ67/BQ125*100</f>
        <v>84.571930017183377</v>
      </c>
      <c r="BR68" s="20"/>
      <c r="BS68" s="20"/>
      <c r="BT68" s="20"/>
    </row>
    <row r="69" spans="1:72" ht="27.75" customHeight="1" x14ac:dyDescent="0.25">
      <c r="A69" s="18" t="s">
        <v>187</v>
      </c>
      <c r="B69" s="19" t="s">
        <v>188</v>
      </c>
      <c r="C69" s="20">
        <f t="shared" ref="C69:L69" si="61">C72+C87+C75+C91</f>
        <v>31417.117000000002</v>
      </c>
      <c r="D69" s="20">
        <f t="shared" si="61"/>
        <v>25706.600000000002</v>
      </c>
      <c r="E69" s="20">
        <f t="shared" si="61"/>
        <v>50784.3</v>
      </c>
      <c r="F69" s="20">
        <f t="shared" si="61"/>
        <v>47549.112650000003</v>
      </c>
      <c r="G69" s="20">
        <f t="shared" si="61"/>
        <v>27846.400000000001</v>
      </c>
      <c r="H69" s="20">
        <f t="shared" si="61"/>
        <v>37875.700000000004</v>
      </c>
      <c r="I69" s="20">
        <f t="shared" si="61"/>
        <v>37873.657959999997</v>
      </c>
      <c r="J69" s="20">
        <f t="shared" si="61"/>
        <v>28847.9</v>
      </c>
      <c r="K69" s="20">
        <f t="shared" si="61"/>
        <v>36038</v>
      </c>
      <c r="L69" s="20">
        <f t="shared" si="61"/>
        <v>36025.459719999999</v>
      </c>
      <c r="M69" s="20">
        <f>M72+M87+M75+M91+M121+M118</f>
        <v>136433.37505</v>
      </c>
      <c r="N69" s="20">
        <f>N72+N87+N75+N91</f>
        <v>29131.300000000003</v>
      </c>
      <c r="O69" s="20">
        <f>O72+O87+O75+O91</f>
        <v>42450.9</v>
      </c>
      <c r="P69" s="20">
        <f>P72+P87+P75+P91</f>
        <v>42059.500910000002</v>
      </c>
      <c r="Q69" s="20">
        <f>Q72+Q87+Q75+Q91+Q121+Q118</f>
        <v>177430.27063000001</v>
      </c>
      <c r="R69" s="20">
        <f>R72+R87+R75+R91</f>
        <v>41274.400000000001</v>
      </c>
      <c r="S69" s="20">
        <f>S72+S87+S75+S91</f>
        <v>43754.2</v>
      </c>
      <c r="T69" s="20">
        <f>T72+T87+T75+T91</f>
        <v>43754.127990000001</v>
      </c>
      <c r="U69" s="20">
        <f>U72+U87+U75+U91+U121+U118</f>
        <v>117162.103</v>
      </c>
      <c r="V69" s="20">
        <f>V72+V87+V75+V91</f>
        <v>29644.3</v>
      </c>
      <c r="W69" s="20">
        <f>W72+W87+W75+W91</f>
        <v>56685.3</v>
      </c>
      <c r="X69" s="20">
        <f>X72+X87+X75+X91</f>
        <v>56600.923360000001</v>
      </c>
      <c r="Y69" s="20">
        <f>Y72+Y87+Y75+Y91+Y121+Y118</f>
        <v>196067.09779999999</v>
      </c>
      <c r="Z69" s="20">
        <f>Z72+Z87+Z75+Z91</f>
        <v>28989</v>
      </c>
      <c r="AA69" s="20">
        <f>AA72+AA87+AA75+AA91</f>
        <v>37510.14</v>
      </c>
      <c r="AB69" s="20">
        <f>AB72+AB87+AB75+AB91</f>
        <v>37510.149740000001</v>
      </c>
      <c r="AC69" s="20">
        <f>AC72+AC87+AC75+AC91+AC121+AC118</f>
        <v>45979.069750000002</v>
      </c>
      <c r="AD69" s="20">
        <f>AD72+AD87+AD75+AD91</f>
        <v>29590.899999999998</v>
      </c>
      <c r="AE69" s="20">
        <f>AE72+AE87+AE75+AE91</f>
        <v>39042.899999999994</v>
      </c>
      <c r="AF69" s="20">
        <f>AF72+AF87+AF75+AF91</f>
        <v>39042.954549999995</v>
      </c>
      <c r="AG69" s="20">
        <f>AG72+AG87+AG75+AG91+AG121+AG118+AG122</f>
        <v>98672.852529999989</v>
      </c>
      <c r="AH69" s="20">
        <f t="shared" ref="AH69:BB69" si="62">AH72+AH87+AH75+AH91</f>
        <v>32823.700000000004</v>
      </c>
      <c r="AI69" s="20">
        <f t="shared" si="62"/>
        <v>32024</v>
      </c>
      <c r="AJ69" s="20">
        <f t="shared" si="62"/>
        <v>32001.1</v>
      </c>
      <c r="AK69" s="20">
        <f t="shared" si="62"/>
        <v>77915.299999999988</v>
      </c>
      <c r="AL69" s="20">
        <f t="shared" si="62"/>
        <v>77915.312600000005</v>
      </c>
      <c r="AM69" s="20">
        <f t="shared" si="62"/>
        <v>77915.312600000005</v>
      </c>
      <c r="AN69" s="20">
        <f t="shared" si="62"/>
        <v>29090.100000000002</v>
      </c>
      <c r="AO69" s="20">
        <f t="shared" si="62"/>
        <v>29090.100000000002</v>
      </c>
      <c r="AP69" s="20">
        <f t="shared" si="62"/>
        <v>29090.100000000002</v>
      </c>
      <c r="AQ69" s="20">
        <f t="shared" si="62"/>
        <v>43788.7</v>
      </c>
      <c r="AR69" s="20">
        <f t="shared" si="62"/>
        <v>47916.5</v>
      </c>
      <c r="AS69" s="20">
        <f t="shared" si="62"/>
        <v>41879.199999999997</v>
      </c>
      <c r="AT69" s="20">
        <f t="shared" si="62"/>
        <v>44503.9</v>
      </c>
      <c r="AU69" s="20">
        <f t="shared" si="62"/>
        <v>50730.9</v>
      </c>
      <c r="AV69" s="20">
        <f t="shared" si="62"/>
        <v>50541.789810000002</v>
      </c>
      <c r="AW69" s="20">
        <f>AW72+AW87+AW75+AW91</f>
        <v>50541.789810000002</v>
      </c>
      <c r="AX69" s="20">
        <f t="shared" si="62"/>
        <v>41406.800000000003</v>
      </c>
      <c r="AY69" s="20">
        <f>AY72+AY87+AY75+AY91</f>
        <v>25606.200000000004</v>
      </c>
      <c r="AZ69" s="20">
        <f>AZ72+AZ87+AZ75+AZ91</f>
        <v>25562.5</v>
      </c>
      <c r="BA69" s="20">
        <f t="shared" si="62"/>
        <v>45206.100000000006</v>
      </c>
      <c r="BB69" s="20">
        <f t="shared" si="62"/>
        <v>50765.900000000009</v>
      </c>
      <c r="BC69" s="20">
        <f>BC72+BC87+BC75+BC91</f>
        <v>38049.800000000003</v>
      </c>
      <c r="BD69" s="20">
        <f>BD72+BD87+BD75+BD91</f>
        <v>62120.4</v>
      </c>
      <c r="BE69" s="20">
        <f t="shared" ref="BE69" si="63">BE72+BE87+BE75+BE91</f>
        <v>62115.89837000001</v>
      </c>
      <c r="BF69" s="20">
        <f>BF72+BF87+BF75+BF91</f>
        <v>62115.89837000001</v>
      </c>
      <c r="BG69" s="20">
        <f t="shared" ref="BG69" si="64">BG72+BG87+BG75+BG91</f>
        <v>38065.300000000003</v>
      </c>
      <c r="BH69" s="20">
        <f>BH72+BH87+BH75+BH91</f>
        <v>30087.200000000001</v>
      </c>
      <c r="BI69" s="20">
        <f>BI72+BI87+BI75+BI91</f>
        <v>29835.5</v>
      </c>
      <c r="BJ69" s="20">
        <f t="shared" ref="BJ69:BP69" si="65">BJ72+BJ87+BJ75+BJ91</f>
        <v>39849.300000000003</v>
      </c>
      <c r="BK69" s="20">
        <f t="shared" si="65"/>
        <v>59502.2</v>
      </c>
      <c r="BL69" s="20">
        <f t="shared" si="65"/>
        <v>71905.8</v>
      </c>
      <c r="BM69" s="20">
        <f t="shared" si="6"/>
        <v>33840.5</v>
      </c>
      <c r="BN69" s="20">
        <f t="shared" si="7"/>
        <v>188.90117771303522</v>
      </c>
      <c r="BO69" s="20">
        <f t="shared" si="65"/>
        <v>68788.100000000006</v>
      </c>
      <c r="BP69" s="20">
        <f t="shared" si="65"/>
        <v>71905.772979999994</v>
      </c>
      <c r="BQ69" s="20">
        <f>BQ72+BQ87+BQ75+BQ91</f>
        <v>71905.772979999994</v>
      </c>
      <c r="BR69" s="20">
        <f t="shared" ref="BR69:BR100" si="66">BP69/BG69*100</f>
        <v>188.90110672975123</v>
      </c>
      <c r="BS69" s="20">
        <f t="shared" ref="BS69:BS100" si="67">BP69/BL69*100</f>
        <v>99.999962423059046</v>
      </c>
      <c r="BT69" s="20">
        <f t="shared" ref="BT69:BT100" si="68">BP69/BE69*100</f>
        <v>115.7606584898532</v>
      </c>
    </row>
    <row r="70" spans="1:72" ht="3" hidden="1" customHeight="1" x14ac:dyDescent="0.25">
      <c r="A70" s="18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7"/>
      <c r="BL70" s="20"/>
      <c r="BM70" s="20">
        <f t="shared" si="6"/>
        <v>0</v>
      </c>
      <c r="BN70" s="20" t="e">
        <f t="shared" si="7"/>
        <v>#DIV/0!</v>
      </c>
      <c r="BO70" s="20"/>
      <c r="BP70" s="20"/>
      <c r="BQ70" s="20"/>
      <c r="BR70" s="20" t="e">
        <f t="shared" si="66"/>
        <v>#DIV/0!</v>
      </c>
      <c r="BS70" s="20" t="e">
        <f t="shared" si="67"/>
        <v>#DIV/0!</v>
      </c>
      <c r="BT70" s="20" t="e">
        <f t="shared" si="68"/>
        <v>#DIV/0!</v>
      </c>
    </row>
    <row r="71" spans="1:72" ht="40.5" hidden="1" customHeight="1" x14ac:dyDescent="0.25">
      <c r="A71" s="18"/>
      <c r="B71" s="19" t="s">
        <v>189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>
        <f>AX69-AX72</f>
        <v>22262.400000000001</v>
      </c>
      <c r="AY71" s="20"/>
      <c r="AZ71" s="20"/>
      <c r="BA71" s="20">
        <f t="shared" ref="BA71:BD71" si="69">BA69-BA72</f>
        <v>26061.700000000004</v>
      </c>
      <c r="BB71" s="20">
        <f t="shared" si="69"/>
        <v>31621.500000000007</v>
      </c>
      <c r="BC71" s="20">
        <f t="shared" si="69"/>
        <v>18905.400000000001</v>
      </c>
      <c r="BD71" s="20">
        <f t="shared" si="69"/>
        <v>42976</v>
      </c>
      <c r="BE71" s="20"/>
      <c r="BF71" s="20"/>
      <c r="BG71" s="20">
        <f>BG69-BG72</f>
        <v>17774.100000000002</v>
      </c>
      <c r="BH71" s="20"/>
      <c r="BI71" s="20"/>
      <c r="BJ71" s="21">
        <f>BJ69-BJ72</f>
        <v>19558.000000000004</v>
      </c>
      <c r="BK71" s="22">
        <f>BK69-BK72</f>
        <v>39210.899999999994</v>
      </c>
      <c r="BL71" s="20">
        <f>BL69-BL72</f>
        <v>51622.700000000004</v>
      </c>
      <c r="BM71" s="20">
        <f t="shared" ref="BM71:BM125" si="70">BL71-BG71</f>
        <v>33848.600000000006</v>
      </c>
      <c r="BN71" s="20">
        <f t="shared" ref="BN71:BN125" si="71">BL71/BG71*100</f>
        <v>290.43777181404403</v>
      </c>
      <c r="BO71" s="20"/>
      <c r="BP71" s="20"/>
      <c r="BQ71" s="20"/>
      <c r="BR71" s="20">
        <f t="shared" si="66"/>
        <v>0</v>
      </c>
      <c r="BS71" s="20">
        <f t="shared" si="67"/>
        <v>0</v>
      </c>
      <c r="BT71" s="20" t="e">
        <f t="shared" si="68"/>
        <v>#DIV/0!</v>
      </c>
    </row>
    <row r="72" spans="1:72" ht="22.5" customHeight="1" x14ac:dyDescent="0.25">
      <c r="A72" s="18" t="s">
        <v>190</v>
      </c>
      <c r="B72" s="19" t="s">
        <v>191</v>
      </c>
      <c r="C72" s="20">
        <f t="shared" ref="C72:AP72" si="72">C73+C74</f>
        <v>21206.855</v>
      </c>
      <c r="D72" s="20">
        <f t="shared" si="72"/>
        <v>25108.7</v>
      </c>
      <c r="E72" s="20">
        <f t="shared" si="72"/>
        <v>33287.9</v>
      </c>
      <c r="F72" s="20">
        <f t="shared" si="72"/>
        <v>33287.9</v>
      </c>
      <c r="G72" s="20">
        <f t="shared" si="72"/>
        <v>23604.5</v>
      </c>
      <c r="H72" s="20">
        <f t="shared" si="72"/>
        <v>26760.300000000003</v>
      </c>
      <c r="I72" s="20">
        <f t="shared" si="72"/>
        <v>26760.332999999999</v>
      </c>
      <c r="J72" s="20">
        <f t="shared" si="72"/>
        <v>25129.9</v>
      </c>
      <c r="K72" s="20">
        <f t="shared" si="72"/>
        <v>30112.5</v>
      </c>
      <c r="L72" s="20">
        <f t="shared" si="72"/>
        <v>30112.464</v>
      </c>
      <c r="M72" s="20">
        <f t="shared" si="72"/>
        <v>30112.464</v>
      </c>
      <c r="N72" s="20">
        <f t="shared" si="72"/>
        <v>25388.9</v>
      </c>
      <c r="O72" s="20">
        <f t="shared" si="72"/>
        <v>24860.9</v>
      </c>
      <c r="P72" s="20">
        <f t="shared" si="72"/>
        <v>24860.94526</v>
      </c>
      <c r="Q72" s="20">
        <f t="shared" si="72"/>
        <v>24860.94526</v>
      </c>
      <c r="R72" s="20">
        <f t="shared" si="72"/>
        <v>24796.5</v>
      </c>
      <c r="S72" s="20">
        <f t="shared" si="72"/>
        <v>25519</v>
      </c>
      <c r="T72" s="20">
        <f t="shared" si="72"/>
        <v>25518.97</v>
      </c>
      <c r="U72" s="20">
        <f t="shared" si="72"/>
        <v>25518.97</v>
      </c>
      <c r="V72" s="20">
        <f t="shared" si="72"/>
        <v>25783.599999999999</v>
      </c>
      <c r="W72" s="20">
        <f t="shared" si="72"/>
        <v>31474.9</v>
      </c>
      <c r="X72" s="20">
        <f t="shared" si="72"/>
        <v>31474.9</v>
      </c>
      <c r="Y72" s="20">
        <f t="shared" si="72"/>
        <v>31474.9</v>
      </c>
      <c r="Z72" s="20">
        <f t="shared" si="72"/>
        <v>27116.9</v>
      </c>
      <c r="AA72" s="20">
        <f t="shared" si="72"/>
        <v>31645.3</v>
      </c>
      <c r="AB72" s="20">
        <f t="shared" si="72"/>
        <v>31645.343000000001</v>
      </c>
      <c r="AC72" s="20">
        <f t="shared" si="72"/>
        <v>31645.343000000001</v>
      </c>
      <c r="AD72" s="20">
        <f t="shared" si="72"/>
        <v>25631.699999999997</v>
      </c>
      <c r="AE72" s="20">
        <f t="shared" si="72"/>
        <v>26197.8</v>
      </c>
      <c r="AF72" s="20">
        <f t="shared" si="72"/>
        <v>26197.760999999999</v>
      </c>
      <c r="AG72" s="20">
        <f t="shared" si="72"/>
        <v>26197.760999999999</v>
      </c>
      <c r="AH72" s="20">
        <f t="shared" si="72"/>
        <v>25647.300000000003</v>
      </c>
      <c r="AI72" s="20">
        <f t="shared" si="72"/>
        <v>25499.599999999999</v>
      </c>
      <c r="AJ72" s="20">
        <f t="shared" si="72"/>
        <v>25463.600000000002</v>
      </c>
      <c r="AK72" s="20">
        <f t="shared" si="72"/>
        <v>25291.3</v>
      </c>
      <c r="AL72" s="20">
        <f t="shared" si="72"/>
        <v>25291.342000000001</v>
      </c>
      <c r="AM72" s="20">
        <f t="shared" si="72"/>
        <v>25291.342000000001</v>
      </c>
      <c r="AN72" s="20">
        <f t="shared" si="72"/>
        <v>26672.7</v>
      </c>
      <c r="AO72" s="20">
        <f t="shared" si="72"/>
        <v>26672.7</v>
      </c>
      <c r="AP72" s="20">
        <f t="shared" si="72"/>
        <v>26672.7</v>
      </c>
      <c r="AQ72" s="20">
        <v>27963.5</v>
      </c>
      <c r="AR72" s="20">
        <v>29963.4</v>
      </c>
      <c r="AS72" s="20">
        <v>18665.400000000001</v>
      </c>
      <c r="AT72" s="20">
        <f>AT73+AT74</f>
        <v>18665.400000000001</v>
      </c>
      <c r="AU72" s="20">
        <f>AU73+AU74</f>
        <v>18665.400000000001</v>
      </c>
      <c r="AV72" s="20">
        <f>AV73+AV74</f>
        <v>18665.400000000001</v>
      </c>
      <c r="AW72" s="20">
        <f>AW73+AW74</f>
        <v>18665.400000000001</v>
      </c>
      <c r="AX72" s="20">
        <f t="shared" ref="AX72" si="73">AX73+AX74</f>
        <v>19144.400000000001</v>
      </c>
      <c r="AY72" s="20">
        <f>AY73+AY74</f>
        <v>18640.7</v>
      </c>
      <c r="AZ72" s="20">
        <f>AZ73+AZ74</f>
        <v>19693.5</v>
      </c>
      <c r="BA72" s="20">
        <v>19144.400000000001</v>
      </c>
      <c r="BB72" s="20">
        <v>19144.400000000001</v>
      </c>
      <c r="BC72" s="20">
        <v>19144.400000000001</v>
      </c>
      <c r="BD72" s="20">
        <v>19144.400000000001</v>
      </c>
      <c r="BE72" s="20">
        <v>19144.400000000001</v>
      </c>
      <c r="BF72" s="20">
        <f>BF73+BF74</f>
        <v>19144.400000000001</v>
      </c>
      <c r="BG72" s="20">
        <f t="shared" ref="BG72" si="74">BG73+BG74</f>
        <v>20291.2</v>
      </c>
      <c r="BH72" s="20">
        <f>BH73+BH74</f>
        <v>20162.5</v>
      </c>
      <c r="BI72" s="20">
        <f>BI73+BI74</f>
        <v>20495.5</v>
      </c>
      <c r="BJ72" s="20">
        <f t="shared" ref="BJ72:BO72" si="75">BJ73+BJ74</f>
        <v>20291.3</v>
      </c>
      <c r="BK72" s="20">
        <f t="shared" si="75"/>
        <v>20291.3</v>
      </c>
      <c r="BL72" s="20">
        <f t="shared" si="75"/>
        <v>20283.099999999999</v>
      </c>
      <c r="BM72" s="20">
        <f t="shared" si="70"/>
        <v>-8.1000000000021828</v>
      </c>
      <c r="BN72" s="20">
        <f t="shared" si="71"/>
        <v>99.960081217473572</v>
      </c>
      <c r="BO72" s="20">
        <f t="shared" si="75"/>
        <v>20291.2</v>
      </c>
      <c r="BP72" s="20">
        <f>BP73</f>
        <v>20283.099999999999</v>
      </c>
      <c r="BQ72" s="20">
        <f>BQ73+BQ74</f>
        <v>20283.099999999999</v>
      </c>
      <c r="BR72" s="20">
        <f t="shared" si="66"/>
        <v>99.960081217473572</v>
      </c>
      <c r="BS72" s="20">
        <f t="shared" si="67"/>
        <v>100</v>
      </c>
      <c r="BT72" s="20">
        <f t="shared" si="68"/>
        <v>105.94795344852801</v>
      </c>
    </row>
    <row r="73" spans="1:72" ht="22.5" hidden="1" customHeight="1" x14ac:dyDescent="0.25">
      <c r="A73" s="10" t="s">
        <v>192</v>
      </c>
      <c r="B73" s="38" t="s">
        <v>193</v>
      </c>
      <c r="C73" s="25">
        <v>6110</v>
      </c>
      <c r="D73" s="25">
        <v>10578.6</v>
      </c>
      <c r="E73" s="25">
        <v>10703.5</v>
      </c>
      <c r="F73" s="25">
        <v>10703.5</v>
      </c>
      <c r="G73" s="25">
        <v>12391.2</v>
      </c>
      <c r="H73" s="25">
        <v>12391.2</v>
      </c>
      <c r="I73" s="25">
        <v>12391.2</v>
      </c>
      <c r="J73" s="25">
        <v>14496.7</v>
      </c>
      <c r="K73" s="25">
        <v>14496.7</v>
      </c>
      <c r="L73" s="25">
        <v>14496.7</v>
      </c>
      <c r="M73" s="25">
        <v>14496.7</v>
      </c>
      <c r="N73" s="25">
        <v>15368.7</v>
      </c>
      <c r="O73" s="25">
        <v>15368.7</v>
      </c>
      <c r="P73" s="25">
        <v>15368.7</v>
      </c>
      <c r="Q73" s="25">
        <v>15368.7</v>
      </c>
      <c r="R73" s="25">
        <v>15819.1</v>
      </c>
      <c r="S73" s="25">
        <v>16626.099999999999</v>
      </c>
      <c r="T73" s="25">
        <v>16626.099999999999</v>
      </c>
      <c r="U73" s="25">
        <v>16626.099999999999</v>
      </c>
      <c r="V73" s="25">
        <v>16306.4</v>
      </c>
      <c r="W73" s="25">
        <v>16306.4</v>
      </c>
      <c r="X73" s="25">
        <v>16306.4</v>
      </c>
      <c r="Y73" s="25">
        <v>31474.9</v>
      </c>
      <c r="Z73" s="25">
        <v>14866</v>
      </c>
      <c r="AA73" s="25">
        <v>14866</v>
      </c>
      <c r="AB73" s="25">
        <v>14866</v>
      </c>
      <c r="AC73" s="25">
        <v>14866</v>
      </c>
      <c r="AD73" s="25">
        <v>14625.8</v>
      </c>
      <c r="AE73" s="25">
        <v>14625.8</v>
      </c>
      <c r="AF73" s="25">
        <v>14625.8</v>
      </c>
      <c r="AG73" s="25">
        <v>14625.8</v>
      </c>
      <c r="AH73" s="25">
        <v>16895.900000000001</v>
      </c>
      <c r="AI73" s="25">
        <v>16793</v>
      </c>
      <c r="AJ73" s="25">
        <v>16811.400000000001</v>
      </c>
      <c r="AK73" s="25">
        <v>16996.5</v>
      </c>
      <c r="AL73" s="25">
        <v>16996.5</v>
      </c>
      <c r="AM73" s="25">
        <v>16996.5</v>
      </c>
      <c r="AN73" s="25">
        <v>18665.400000000001</v>
      </c>
      <c r="AO73" s="25">
        <v>18665.400000000001</v>
      </c>
      <c r="AP73" s="25">
        <v>18665.400000000001</v>
      </c>
      <c r="AQ73" s="25"/>
      <c r="AR73" s="25"/>
      <c r="AS73" s="25"/>
      <c r="AT73" s="25">
        <v>18665.400000000001</v>
      </c>
      <c r="AU73" s="25">
        <v>18665.400000000001</v>
      </c>
      <c r="AV73" s="25">
        <v>18665.400000000001</v>
      </c>
      <c r="AW73" s="25">
        <v>18665.400000000001</v>
      </c>
      <c r="AX73" s="25">
        <v>19144.400000000001</v>
      </c>
      <c r="AY73" s="25">
        <v>18640.7</v>
      </c>
      <c r="AZ73" s="25">
        <v>19693.5</v>
      </c>
      <c r="BA73" s="25">
        <v>19145.400000000001</v>
      </c>
      <c r="BB73" s="25">
        <v>19146.400000000001</v>
      </c>
      <c r="BC73" s="25">
        <v>19144.400000000001</v>
      </c>
      <c r="BD73" s="25">
        <v>19144.400000000001</v>
      </c>
      <c r="BE73" s="25">
        <v>19144.400000000001</v>
      </c>
      <c r="BF73" s="25">
        <v>19144.400000000001</v>
      </c>
      <c r="BG73" s="25">
        <v>20291.2</v>
      </c>
      <c r="BH73" s="25">
        <v>20162.5</v>
      </c>
      <c r="BI73" s="25">
        <v>20495.5</v>
      </c>
      <c r="BJ73" s="20">
        <v>20291.3</v>
      </c>
      <c r="BK73" s="27">
        <v>20291.3</v>
      </c>
      <c r="BL73" s="25">
        <v>20283.099999999999</v>
      </c>
      <c r="BM73" s="20">
        <f t="shared" si="70"/>
        <v>-8.1000000000021828</v>
      </c>
      <c r="BN73" s="20">
        <f t="shared" si="71"/>
        <v>99.960081217473572</v>
      </c>
      <c r="BO73" s="25">
        <v>20291.2</v>
      </c>
      <c r="BP73" s="25">
        <v>20283.099999999999</v>
      </c>
      <c r="BQ73" s="25">
        <v>20283.099999999999</v>
      </c>
      <c r="BR73" s="25">
        <f t="shared" si="66"/>
        <v>99.960081217473572</v>
      </c>
      <c r="BS73" s="25">
        <f t="shared" si="67"/>
        <v>100</v>
      </c>
      <c r="BT73" s="25">
        <f t="shared" si="68"/>
        <v>105.94795344852801</v>
      </c>
    </row>
    <row r="74" spans="1:72" ht="22.5" hidden="1" customHeight="1" x14ac:dyDescent="0.25">
      <c r="A74" s="10" t="s">
        <v>194</v>
      </c>
      <c r="B74" s="38" t="s">
        <v>195</v>
      </c>
      <c r="C74" s="25">
        <v>15096.855</v>
      </c>
      <c r="D74" s="25">
        <v>14530.1</v>
      </c>
      <c r="E74" s="25">
        <v>22584.400000000001</v>
      </c>
      <c r="F74" s="25">
        <v>22584.400000000001</v>
      </c>
      <c r="G74" s="25">
        <v>11213.3</v>
      </c>
      <c r="H74" s="25">
        <v>14369.1</v>
      </c>
      <c r="I74" s="25">
        <v>14369.133</v>
      </c>
      <c r="J74" s="25">
        <v>10633.2</v>
      </c>
      <c r="K74" s="25">
        <v>15615.8</v>
      </c>
      <c r="L74" s="25">
        <v>15615.763999999999</v>
      </c>
      <c r="M74" s="25">
        <v>15615.763999999999</v>
      </c>
      <c r="N74" s="25">
        <v>10020.200000000001</v>
      </c>
      <c r="O74" s="25">
        <v>9492.2000000000007</v>
      </c>
      <c r="P74" s="25">
        <f>10878.37334-1386.12808</f>
        <v>9492.2452599999997</v>
      </c>
      <c r="Q74" s="25">
        <f>10878.37334-1386.12808</f>
        <v>9492.2452599999997</v>
      </c>
      <c r="R74" s="25">
        <v>8977.4</v>
      </c>
      <c r="S74" s="25">
        <v>8892.9</v>
      </c>
      <c r="T74" s="25">
        <v>8892.8700000000008</v>
      </c>
      <c r="U74" s="25">
        <v>8892.8700000000008</v>
      </c>
      <c r="V74" s="25">
        <v>9477.2000000000007</v>
      </c>
      <c r="W74" s="25">
        <v>15168.5</v>
      </c>
      <c r="X74" s="25">
        <v>15168.5</v>
      </c>
      <c r="Y74" s="25">
        <v>0</v>
      </c>
      <c r="Z74" s="25">
        <v>12250.9</v>
      </c>
      <c r="AA74" s="25">
        <v>16779.3</v>
      </c>
      <c r="AB74" s="25">
        <v>16779.343000000001</v>
      </c>
      <c r="AC74" s="25">
        <v>16779.343000000001</v>
      </c>
      <c r="AD74" s="25">
        <v>11005.9</v>
      </c>
      <c r="AE74" s="25">
        <v>11572</v>
      </c>
      <c r="AF74" s="25">
        <v>11571.960999999999</v>
      </c>
      <c r="AG74" s="25">
        <v>11571.960999999999</v>
      </c>
      <c r="AH74" s="25">
        <v>8751.4</v>
      </c>
      <c r="AI74" s="25">
        <v>8706.6</v>
      </c>
      <c r="AJ74" s="25">
        <v>8652.2000000000007</v>
      </c>
      <c r="AK74" s="25">
        <v>8294.7999999999993</v>
      </c>
      <c r="AL74" s="25">
        <v>8294.8420000000006</v>
      </c>
      <c r="AM74" s="25">
        <v>8294.8420000000006</v>
      </c>
      <c r="AN74" s="25">
        <v>8007.3</v>
      </c>
      <c r="AO74" s="25">
        <v>8007.3</v>
      </c>
      <c r="AP74" s="25">
        <v>8007.3</v>
      </c>
      <c r="AQ74" s="25"/>
      <c r="AR74" s="25"/>
      <c r="AS74" s="25"/>
      <c r="AT74" s="25"/>
      <c r="AU74" s="25"/>
      <c r="AV74" s="25">
        <v>0</v>
      </c>
      <c r="AW74" s="25">
        <v>0</v>
      </c>
      <c r="AX74" s="25"/>
      <c r="AY74" s="25"/>
      <c r="AZ74" s="25"/>
      <c r="BA74" s="25"/>
      <c r="BB74" s="25"/>
      <c r="BC74" s="25"/>
      <c r="BD74" s="25"/>
      <c r="BE74" s="25"/>
      <c r="BF74" s="25">
        <v>0</v>
      </c>
      <c r="BG74" s="25"/>
      <c r="BH74" s="25"/>
      <c r="BI74" s="25"/>
      <c r="BJ74" s="20"/>
      <c r="BK74" s="27"/>
      <c r="BL74" s="25"/>
      <c r="BM74" s="20">
        <f t="shared" si="70"/>
        <v>0</v>
      </c>
      <c r="BN74" s="20" t="e">
        <f t="shared" si="71"/>
        <v>#DIV/0!</v>
      </c>
      <c r="BO74" s="25"/>
      <c r="BP74" s="25"/>
      <c r="BQ74" s="25"/>
      <c r="BR74" s="25" t="e">
        <f t="shared" si="66"/>
        <v>#DIV/0!</v>
      </c>
      <c r="BS74" s="25" t="e">
        <f t="shared" si="67"/>
        <v>#DIV/0!</v>
      </c>
      <c r="BT74" s="25" t="e">
        <f t="shared" si="68"/>
        <v>#DIV/0!</v>
      </c>
    </row>
    <row r="75" spans="1:72" ht="26.25" customHeight="1" x14ac:dyDescent="0.25">
      <c r="A75" s="18" t="s">
        <v>196</v>
      </c>
      <c r="B75" s="40" t="s">
        <v>197</v>
      </c>
      <c r="C75" s="20">
        <f t="shared" ref="C75:I75" si="76">C76+C77+C78+C79</f>
        <v>5965.47</v>
      </c>
      <c r="D75" s="20">
        <f t="shared" si="76"/>
        <v>0</v>
      </c>
      <c r="E75" s="20">
        <f t="shared" si="76"/>
        <v>15541.3</v>
      </c>
      <c r="F75" s="20">
        <f t="shared" si="76"/>
        <v>12306.21</v>
      </c>
      <c r="G75" s="20">
        <f t="shared" si="76"/>
        <v>3874.9</v>
      </c>
      <c r="H75" s="20">
        <f t="shared" si="76"/>
        <v>8505.6</v>
      </c>
      <c r="I75" s="20">
        <f t="shared" si="76"/>
        <v>8505.6200000000008</v>
      </c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>
        <f t="shared" ref="AK75:AP75" si="77">AK79</f>
        <v>12078.8</v>
      </c>
      <c r="AL75" s="20">
        <f t="shared" si="77"/>
        <v>12078.83</v>
      </c>
      <c r="AM75" s="20">
        <f t="shared" si="77"/>
        <v>12078.83</v>
      </c>
      <c r="AN75" s="20">
        <f t="shared" si="77"/>
        <v>60</v>
      </c>
      <c r="AO75" s="20">
        <f t="shared" si="77"/>
        <v>60</v>
      </c>
      <c r="AP75" s="20">
        <f t="shared" si="77"/>
        <v>60</v>
      </c>
      <c r="AQ75" s="20">
        <v>12614.9</v>
      </c>
      <c r="AR75" s="20">
        <v>12615</v>
      </c>
      <c r="AS75" s="20">
        <v>60</v>
      </c>
      <c r="AT75" s="20">
        <f t="shared" ref="AT75:BB75" si="78">AT79</f>
        <v>60</v>
      </c>
      <c r="AU75" s="20">
        <f t="shared" si="78"/>
        <v>60</v>
      </c>
      <c r="AV75" s="20">
        <f t="shared" si="78"/>
        <v>60</v>
      </c>
      <c r="AW75" s="20">
        <f>AW79</f>
        <v>60</v>
      </c>
      <c r="AX75" s="20">
        <f t="shared" si="78"/>
        <v>58.4</v>
      </c>
      <c r="AY75" s="20">
        <f t="shared" si="78"/>
        <v>58.5</v>
      </c>
      <c r="AZ75" s="20">
        <f t="shared" si="78"/>
        <v>58.4</v>
      </c>
      <c r="BA75" s="20">
        <f t="shared" si="78"/>
        <v>58.4</v>
      </c>
      <c r="BB75" s="20">
        <f t="shared" si="78"/>
        <v>58.4</v>
      </c>
      <c r="BC75" s="20">
        <v>58.4</v>
      </c>
      <c r="BD75" s="20">
        <v>58.4</v>
      </c>
      <c r="BE75" s="20">
        <v>58.4</v>
      </c>
      <c r="BF75" s="20">
        <f>BF79</f>
        <v>58.4</v>
      </c>
      <c r="BG75" s="20">
        <f>BG79</f>
        <v>31.1</v>
      </c>
      <c r="BH75" s="20">
        <f>BH79</f>
        <v>30.7</v>
      </c>
      <c r="BI75" s="20">
        <f>BI79</f>
        <v>30.6</v>
      </c>
      <c r="BJ75" s="20">
        <f t="shared" ref="BJ75:BL75" si="79">BJ79</f>
        <v>31.1</v>
      </c>
      <c r="BK75" s="20">
        <f t="shared" si="79"/>
        <v>10031.1</v>
      </c>
      <c r="BL75" s="20">
        <f t="shared" si="79"/>
        <v>10031.1</v>
      </c>
      <c r="BM75" s="20">
        <f t="shared" si="70"/>
        <v>10000</v>
      </c>
      <c r="BN75" s="20">
        <f t="shared" si="71"/>
        <v>32254.340836012863</v>
      </c>
      <c r="BO75" s="20">
        <f>BO79</f>
        <v>10031.1</v>
      </c>
      <c r="BP75" s="20">
        <f>BP79</f>
        <v>10031.1</v>
      </c>
      <c r="BQ75" s="20">
        <f>BQ79</f>
        <v>10031.1</v>
      </c>
      <c r="BR75" s="20">
        <f t="shared" si="66"/>
        <v>32254.340836012863</v>
      </c>
      <c r="BS75" s="20">
        <f t="shared" si="67"/>
        <v>100</v>
      </c>
      <c r="BT75" s="20">
        <f t="shared" si="68"/>
        <v>17176.54109589041</v>
      </c>
    </row>
    <row r="76" spans="1:72" ht="22.5" hidden="1" customHeight="1" x14ac:dyDescent="0.25">
      <c r="A76" s="10" t="s">
        <v>198</v>
      </c>
      <c r="B76" s="38" t="s">
        <v>199</v>
      </c>
      <c r="C76" s="25">
        <v>4493.0200000000004</v>
      </c>
      <c r="D76" s="25">
        <v>0</v>
      </c>
      <c r="E76" s="25">
        <v>5580.2</v>
      </c>
      <c r="F76" s="25">
        <v>5580.2</v>
      </c>
      <c r="G76" s="25">
        <v>3176.8</v>
      </c>
      <c r="H76" s="25">
        <v>499.6</v>
      </c>
      <c r="I76" s="25">
        <v>499.62</v>
      </c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0"/>
      <c r="BK76" s="27"/>
      <c r="BL76" s="25"/>
      <c r="BM76" s="20">
        <f t="shared" si="70"/>
        <v>0</v>
      </c>
      <c r="BN76" s="20" t="e">
        <f t="shared" si="71"/>
        <v>#DIV/0!</v>
      </c>
      <c r="BO76" s="25"/>
      <c r="BP76" s="25"/>
      <c r="BQ76" s="25"/>
      <c r="BR76" s="25" t="e">
        <f t="shared" si="66"/>
        <v>#DIV/0!</v>
      </c>
      <c r="BS76" s="25" t="e">
        <f t="shared" si="67"/>
        <v>#DIV/0!</v>
      </c>
      <c r="BT76" s="25" t="e">
        <f t="shared" si="68"/>
        <v>#DIV/0!</v>
      </c>
    </row>
    <row r="77" spans="1:72" ht="22.5" hidden="1" customHeight="1" x14ac:dyDescent="0.25">
      <c r="A77" s="10" t="s">
        <v>200</v>
      </c>
      <c r="B77" s="38" t="s">
        <v>201</v>
      </c>
      <c r="C77" s="25">
        <v>1390.45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0"/>
      <c r="BK77" s="27"/>
      <c r="BL77" s="25"/>
      <c r="BM77" s="20">
        <f t="shared" si="70"/>
        <v>0</v>
      </c>
      <c r="BN77" s="20" t="e">
        <f t="shared" si="71"/>
        <v>#DIV/0!</v>
      </c>
      <c r="BO77" s="25"/>
      <c r="BP77" s="25"/>
      <c r="BQ77" s="25"/>
      <c r="BR77" s="25" t="e">
        <f t="shared" si="66"/>
        <v>#DIV/0!</v>
      </c>
      <c r="BS77" s="25" t="e">
        <f t="shared" si="67"/>
        <v>#DIV/0!</v>
      </c>
      <c r="BT77" s="25" t="e">
        <f t="shared" si="68"/>
        <v>#DIV/0!</v>
      </c>
    </row>
    <row r="78" spans="1:72" ht="22.5" hidden="1" customHeight="1" x14ac:dyDescent="0.25">
      <c r="A78" s="10" t="s">
        <v>202</v>
      </c>
      <c r="B78" s="38" t="s">
        <v>203</v>
      </c>
      <c r="C78" s="25">
        <v>0</v>
      </c>
      <c r="D78" s="25">
        <v>0</v>
      </c>
      <c r="E78" s="25">
        <v>920.7</v>
      </c>
      <c r="F78" s="25">
        <v>891</v>
      </c>
      <c r="G78" s="25">
        <v>0</v>
      </c>
      <c r="H78" s="25">
        <v>0</v>
      </c>
      <c r="I78" s="25">
        <v>0</v>
      </c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0"/>
      <c r="BK78" s="27"/>
      <c r="BL78" s="25"/>
      <c r="BM78" s="20">
        <f t="shared" si="70"/>
        <v>0</v>
      </c>
      <c r="BN78" s="20" t="e">
        <f t="shared" si="71"/>
        <v>#DIV/0!</v>
      </c>
      <c r="BO78" s="25"/>
      <c r="BP78" s="25"/>
      <c r="BQ78" s="25"/>
      <c r="BR78" s="25" t="e">
        <f t="shared" si="66"/>
        <v>#DIV/0!</v>
      </c>
      <c r="BS78" s="25" t="e">
        <f t="shared" si="67"/>
        <v>#DIV/0!</v>
      </c>
      <c r="BT78" s="25" t="e">
        <f t="shared" si="68"/>
        <v>#DIV/0!</v>
      </c>
    </row>
    <row r="79" spans="1:72" ht="22.5" hidden="1" customHeight="1" x14ac:dyDescent="0.25">
      <c r="A79" s="10" t="s">
        <v>204</v>
      </c>
      <c r="B79" s="38" t="s">
        <v>205</v>
      </c>
      <c r="C79" s="25">
        <v>82</v>
      </c>
      <c r="D79" s="25">
        <v>0</v>
      </c>
      <c r="E79" s="25">
        <v>9040.4</v>
      </c>
      <c r="F79" s="25">
        <v>5835.01</v>
      </c>
      <c r="G79" s="25">
        <v>698.1</v>
      </c>
      <c r="H79" s="25">
        <v>8006</v>
      </c>
      <c r="I79" s="25">
        <v>8006</v>
      </c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>
        <v>12078.8</v>
      </c>
      <c r="AL79" s="25">
        <v>12078.83</v>
      </c>
      <c r="AM79" s="25">
        <v>12078.83</v>
      </c>
      <c r="AN79" s="25">
        <v>60</v>
      </c>
      <c r="AO79" s="25">
        <v>60</v>
      </c>
      <c r="AP79" s="25">
        <v>60</v>
      </c>
      <c r="AQ79" s="25"/>
      <c r="AR79" s="25"/>
      <c r="AS79" s="25"/>
      <c r="AT79" s="25">
        <v>60</v>
      </c>
      <c r="AU79" s="25">
        <v>60</v>
      </c>
      <c r="AV79" s="25">
        <v>60</v>
      </c>
      <c r="AW79" s="25">
        <v>60</v>
      </c>
      <c r="AX79" s="25">
        <v>58.4</v>
      </c>
      <c r="AY79" s="25">
        <v>58.5</v>
      </c>
      <c r="AZ79" s="25">
        <v>58.4</v>
      </c>
      <c r="BA79" s="25">
        <v>58.4</v>
      </c>
      <c r="BB79" s="25">
        <v>58.4</v>
      </c>
      <c r="BC79" s="25">
        <v>58.4</v>
      </c>
      <c r="BD79" s="25">
        <v>58.4</v>
      </c>
      <c r="BE79" s="25">
        <v>58.4</v>
      </c>
      <c r="BF79" s="25">
        <v>58.4</v>
      </c>
      <c r="BG79" s="25">
        <v>31.1</v>
      </c>
      <c r="BH79" s="25">
        <v>30.7</v>
      </c>
      <c r="BI79" s="25">
        <v>30.6</v>
      </c>
      <c r="BJ79" s="20">
        <v>31.1</v>
      </c>
      <c r="BK79" s="27">
        <f>BK81+BK86</f>
        <v>10031.1</v>
      </c>
      <c r="BL79" s="25">
        <v>10031.1</v>
      </c>
      <c r="BM79" s="20">
        <f t="shared" si="70"/>
        <v>10000</v>
      </c>
      <c r="BN79" s="20">
        <f t="shared" si="71"/>
        <v>32254.340836012863</v>
      </c>
      <c r="BO79" s="25">
        <v>10031.1</v>
      </c>
      <c r="BP79" s="25">
        <v>10031.1</v>
      </c>
      <c r="BQ79" s="25">
        <v>10031.1</v>
      </c>
      <c r="BR79" s="25">
        <f t="shared" si="66"/>
        <v>32254.340836012863</v>
      </c>
      <c r="BS79" s="25">
        <f t="shared" si="67"/>
        <v>100</v>
      </c>
      <c r="BT79" s="25">
        <f t="shared" si="68"/>
        <v>17176.54109589041</v>
      </c>
    </row>
    <row r="80" spans="1:72" ht="22.5" hidden="1" customHeight="1" x14ac:dyDescent="0.25">
      <c r="A80" s="10"/>
      <c r="B80" s="38" t="s">
        <v>206</v>
      </c>
      <c r="C80" s="25"/>
      <c r="D80" s="25"/>
      <c r="E80" s="25"/>
      <c r="F80" s="25">
        <v>3826.57</v>
      </c>
      <c r="G80" s="25"/>
      <c r="H80" s="25">
        <v>6007.9</v>
      </c>
      <c r="I80" s="25">
        <v>6007.9</v>
      </c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>
        <v>12019.8</v>
      </c>
      <c r="AL80" s="25">
        <v>12019.83</v>
      </c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0"/>
      <c r="BK80" s="27"/>
      <c r="BL80" s="25"/>
      <c r="BM80" s="20">
        <f t="shared" si="70"/>
        <v>0</v>
      </c>
      <c r="BN80" s="20" t="e">
        <f t="shared" si="71"/>
        <v>#DIV/0!</v>
      </c>
      <c r="BO80" s="25"/>
      <c r="BP80" s="25"/>
      <c r="BQ80" s="25"/>
      <c r="BR80" s="25" t="e">
        <f t="shared" si="66"/>
        <v>#DIV/0!</v>
      </c>
      <c r="BS80" s="25" t="e">
        <f t="shared" si="67"/>
        <v>#DIV/0!</v>
      </c>
      <c r="BT80" s="25" t="e">
        <f t="shared" si="68"/>
        <v>#DIV/0!</v>
      </c>
    </row>
    <row r="81" spans="1:72" ht="22.5" hidden="1" customHeight="1" x14ac:dyDescent="0.25">
      <c r="A81" s="10"/>
      <c r="B81" s="38" t="s">
        <v>207</v>
      </c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>
        <v>59</v>
      </c>
      <c r="AL81" s="25">
        <v>59</v>
      </c>
      <c r="AM81" s="25"/>
      <c r="AN81" s="25">
        <v>60</v>
      </c>
      <c r="AO81" s="25">
        <v>60</v>
      </c>
      <c r="AP81" s="25">
        <v>60</v>
      </c>
      <c r="AQ81" s="25"/>
      <c r="AR81" s="25"/>
      <c r="AS81" s="25"/>
      <c r="AT81" s="25">
        <v>60</v>
      </c>
      <c r="AU81" s="25">
        <v>60</v>
      </c>
      <c r="AV81" s="25"/>
      <c r="AW81" s="25"/>
      <c r="AX81" s="25">
        <v>58.4</v>
      </c>
      <c r="AY81" s="25">
        <v>58.5</v>
      </c>
      <c r="AZ81" s="25">
        <v>58.4</v>
      </c>
      <c r="BA81" s="25">
        <v>58.4</v>
      </c>
      <c r="BB81" s="25">
        <v>58.4</v>
      </c>
      <c r="BC81" s="25">
        <v>58.4</v>
      </c>
      <c r="BD81" s="25">
        <v>58.4</v>
      </c>
      <c r="BE81" s="25">
        <v>58.4</v>
      </c>
      <c r="BF81" s="25">
        <v>58.4</v>
      </c>
      <c r="BG81" s="25">
        <v>31.1</v>
      </c>
      <c r="BH81" s="25">
        <v>30.7</v>
      </c>
      <c r="BI81" s="25">
        <v>30.6</v>
      </c>
      <c r="BJ81" s="20">
        <v>31.1</v>
      </c>
      <c r="BK81" s="27">
        <v>31.1</v>
      </c>
      <c r="BL81" s="25">
        <v>31.1</v>
      </c>
      <c r="BM81" s="20">
        <f t="shared" si="70"/>
        <v>0</v>
      </c>
      <c r="BN81" s="20">
        <f t="shared" si="71"/>
        <v>100</v>
      </c>
      <c r="BO81" s="25">
        <v>31.1</v>
      </c>
      <c r="BP81" s="25">
        <v>31.1</v>
      </c>
      <c r="BQ81" s="25">
        <v>31.1</v>
      </c>
      <c r="BR81" s="25">
        <f t="shared" si="66"/>
        <v>100</v>
      </c>
      <c r="BS81" s="25">
        <f t="shared" si="67"/>
        <v>100</v>
      </c>
      <c r="BT81" s="25">
        <f t="shared" si="68"/>
        <v>53.253424657534254</v>
      </c>
    </row>
    <row r="82" spans="1:72" ht="22.5" hidden="1" customHeight="1" x14ac:dyDescent="0.25">
      <c r="A82" s="10"/>
      <c r="B82" s="38" t="s">
        <v>208</v>
      </c>
      <c r="C82" s="25"/>
      <c r="D82" s="25"/>
      <c r="E82" s="25"/>
      <c r="F82" s="25">
        <f>1114.24</f>
        <v>1114.24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0"/>
      <c r="BK82" s="27"/>
      <c r="BL82" s="25"/>
      <c r="BM82" s="20">
        <f t="shared" si="70"/>
        <v>0</v>
      </c>
      <c r="BN82" s="20" t="e">
        <f t="shared" si="71"/>
        <v>#DIV/0!</v>
      </c>
      <c r="BO82" s="25"/>
      <c r="BP82" s="25"/>
      <c r="BQ82" s="25"/>
      <c r="BR82" s="25" t="e">
        <f t="shared" si="66"/>
        <v>#DIV/0!</v>
      </c>
      <c r="BS82" s="25" t="e">
        <f t="shared" si="67"/>
        <v>#DIV/0!</v>
      </c>
      <c r="BT82" s="25" t="e">
        <f t="shared" si="68"/>
        <v>#DIV/0!</v>
      </c>
    </row>
    <row r="83" spans="1:72" ht="22.5" hidden="1" customHeight="1" x14ac:dyDescent="0.25">
      <c r="A83" s="10"/>
      <c r="B83" s="38" t="s">
        <v>209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0"/>
      <c r="BK83" s="27"/>
      <c r="BL83" s="25"/>
      <c r="BM83" s="20">
        <f t="shared" si="70"/>
        <v>0</v>
      </c>
      <c r="BN83" s="20" t="e">
        <f t="shared" si="71"/>
        <v>#DIV/0!</v>
      </c>
      <c r="BO83" s="25"/>
      <c r="BP83" s="25"/>
      <c r="BQ83" s="25"/>
      <c r="BR83" s="25" t="e">
        <f t="shared" si="66"/>
        <v>#DIV/0!</v>
      </c>
      <c r="BS83" s="25" t="e">
        <f t="shared" si="67"/>
        <v>#DIV/0!</v>
      </c>
      <c r="BT83" s="25" t="e">
        <f t="shared" si="68"/>
        <v>#DIV/0!</v>
      </c>
    </row>
    <row r="84" spans="1:72" ht="22.5" hidden="1" customHeight="1" x14ac:dyDescent="0.25">
      <c r="A84" s="10"/>
      <c r="B84" s="38" t="s">
        <v>210</v>
      </c>
      <c r="C84" s="25"/>
      <c r="D84" s="25"/>
      <c r="E84" s="25"/>
      <c r="F84" s="25">
        <v>615.6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0"/>
      <c r="BK84" s="27"/>
      <c r="BL84" s="25"/>
      <c r="BM84" s="20">
        <f t="shared" si="70"/>
        <v>0</v>
      </c>
      <c r="BN84" s="20" t="e">
        <f t="shared" si="71"/>
        <v>#DIV/0!</v>
      </c>
      <c r="BO84" s="25"/>
      <c r="BP84" s="25"/>
      <c r="BQ84" s="25"/>
      <c r="BR84" s="25" t="e">
        <f t="shared" si="66"/>
        <v>#DIV/0!</v>
      </c>
      <c r="BS84" s="25" t="e">
        <f t="shared" si="67"/>
        <v>#DIV/0!</v>
      </c>
      <c r="BT84" s="25" t="e">
        <f t="shared" si="68"/>
        <v>#DIV/0!</v>
      </c>
    </row>
    <row r="85" spans="1:72" ht="22.5" hidden="1" customHeight="1" x14ac:dyDescent="0.25">
      <c r="A85" s="10"/>
      <c r="B85" s="38" t="s">
        <v>211</v>
      </c>
      <c r="C85" s="25"/>
      <c r="D85" s="25"/>
      <c r="E85" s="25"/>
      <c r="F85" s="25">
        <v>278.60000000000002</v>
      </c>
      <c r="G85" s="25">
        <v>698.1</v>
      </c>
      <c r="H85" s="25">
        <v>698.1</v>
      </c>
      <c r="I85" s="25">
        <v>698.1</v>
      </c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0"/>
      <c r="BK85" s="27"/>
      <c r="BL85" s="25"/>
      <c r="BM85" s="20">
        <f t="shared" si="70"/>
        <v>0</v>
      </c>
      <c r="BN85" s="20" t="e">
        <f t="shared" si="71"/>
        <v>#DIV/0!</v>
      </c>
      <c r="BO85" s="25"/>
      <c r="BP85" s="25"/>
      <c r="BQ85" s="25"/>
      <c r="BR85" s="25" t="e">
        <f t="shared" si="66"/>
        <v>#DIV/0!</v>
      </c>
      <c r="BS85" s="25" t="e">
        <f t="shared" si="67"/>
        <v>#DIV/0!</v>
      </c>
      <c r="BT85" s="25" t="e">
        <f t="shared" si="68"/>
        <v>#DIV/0!</v>
      </c>
    </row>
    <row r="86" spans="1:72" ht="22.5" hidden="1" customHeight="1" x14ac:dyDescent="0.25">
      <c r="A86" s="10"/>
      <c r="B86" s="38" t="s">
        <v>212</v>
      </c>
      <c r="C86" s="25"/>
      <c r="D86" s="25"/>
      <c r="E86" s="25"/>
      <c r="F86" s="25"/>
      <c r="G86" s="25"/>
      <c r="H86" s="25">
        <v>1300</v>
      </c>
      <c r="I86" s="25">
        <v>1300</v>
      </c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0"/>
      <c r="BK86" s="27">
        <v>10000</v>
      </c>
      <c r="BL86" s="25"/>
      <c r="BM86" s="20">
        <f t="shared" si="70"/>
        <v>0</v>
      </c>
      <c r="BN86" s="20" t="e">
        <f t="shared" si="71"/>
        <v>#DIV/0!</v>
      </c>
      <c r="BO86" s="25">
        <f>10000</f>
        <v>10000</v>
      </c>
      <c r="BP86" s="25"/>
      <c r="BQ86" s="25"/>
      <c r="BR86" s="25" t="e">
        <f t="shared" si="66"/>
        <v>#DIV/0!</v>
      </c>
      <c r="BS86" s="25" t="e">
        <f t="shared" si="67"/>
        <v>#DIV/0!</v>
      </c>
      <c r="BT86" s="25" t="e">
        <f t="shared" si="68"/>
        <v>#DIV/0!</v>
      </c>
    </row>
    <row r="87" spans="1:72" ht="24" customHeight="1" x14ac:dyDescent="0.25">
      <c r="A87" s="18" t="s">
        <v>213</v>
      </c>
      <c r="B87" s="19" t="s">
        <v>214</v>
      </c>
      <c r="C87" s="20">
        <f t="shared" ref="C87:Z87" si="80">C89+C90</f>
        <v>595.70000000000005</v>
      </c>
      <c r="D87" s="20">
        <f t="shared" si="80"/>
        <v>597.9</v>
      </c>
      <c r="E87" s="20">
        <f t="shared" si="80"/>
        <v>597.9</v>
      </c>
      <c r="F87" s="20">
        <f t="shared" si="80"/>
        <v>597.9</v>
      </c>
      <c r="G87" s="20">
        <f t="shared" si="80"/>
        <v>367</v>
      </c>
      <c r="H87" s="20">
        <f t="shared" si="80"/>
        <v>512.4</v>
      </c>
      <c r="I87" s="20">
        <f t="shared" si="80"/>
        <v>512.34440999999993</v>
      </c>
      <c r="J87" s="20">
        <f t="shared" si="80"/>
        <v>879</v>
      </c>
      <c r="K87" s="20">
        <f t="shared" si="80"/>
        <v>879</v>
      </c>
      <c r="L87" s="20">
        <f t="shared" si="80"/>
        <v>879</v>
      </c>
      <c r="M87" s="20">
        <f t="shared" si="80"/>
        <v>879</v>
      </c>
      <c r="N87" s="20">
        <f t="shared" si="80"/>
        <v>876</v>
      </c>
      <c r="O87" s="20">
        <f t="shared" si="80"/>
        <v>698.4</v>
      </c>
      <c r="P87" s="20">
        <f t="shared" si="80"/>
        <v>698.4</v>
      </c>
      <c r="Q87" s="20">
        <f t="shared" si="80"/>
        <v>698.4</v>
      </c>
      <c r="R87" s="20">
        <f t="shared" si="80"/>
        <v>889</v>
      </c>
      <c r="S87" s="20">
        <f t="shared" si="80"/>
        <v>653</v>
      </c>
      <c r="T87" s="20">
        <f t="shared" si="80"/>
        <v>653</v>
      </c>
      <c r="U87" s="20">
        <f t="shared" si="80"/>
        <v>653</v>
      </c>
      <c r="V87" s="20">
        <f t="shared" si="80"/>
        <v>475.2</v>
      </c>
      <c r="W87" s="20">
        <f t="shared" si="80"/>
        <v>475.2</v>
      </c>
      <c r="X87" s="20">
        <f t="shared" si="80"/>
        <v>475.2</v>
      </c>
      <c r="Y87" s="20">
        <f t="shared" si="80"/>
        <v>475.2</v>
      </c>
      <c r="Z87" s="20">
        <f t="shared" si="80"/>
        <v>493.8</v>
      </c>
      <c r="AA87" s="20">
        <f>AA89+AA90+AA88</f>
        <v>495.84000000000003</v>
      </c>
      <c r="AB87" s="20">
        <f>AB89+AB90+AB88</f>
        <v>495.84000000000003</v>
      </c>
      <c r="AC87" s="20">
        <f>AC89+AC90+AC88</f>
        <v>495.84000000000003</v>
      </c>
      <c r="AD87" s="20">
        <f>AD89+AD90</f>
        <v>514.9</v>
      </c>
      <c r="AE87" s="20">
        <f>AE89+AE90+AE88</f>
        <v>548.6</v>
      </c>
      <c r="AF87" s="20">
        <f>AF89+AF90+AF88</f>
        <v>548.6</v>
      </c>
      <c r="AG87" s="20">
        <f>AG89+AG90+AG88</f>
        <v>548.6</v>
      </c>
      <c r="AH87" s="20">
        <f>AH89+AH90</f>
        <v>547.9</v>
      </c>
      <c r="AI87" s="20">
        <f>AI89+AI90</f>
        <v>552</v>
      </c>
      <c r="AJ87" s="20">
        <f>AJ89+AJ90</f>
        <v>565.1</v>
      </c>
      <c r="AK87" s="20">
        <f>AK89+AK90+AK88</f>
        <v>593.1</v>
      </c>
      <c r="AL87" s="20">
        <f>AL89+AL90+AL88</f>
        <v>593.09299999999996</v>
      </c>
      <c r="AM87" s="20">
        <f>AM89+AM90+AM88</f>
        <v>593.09299999999996</v>
      </c>
      <c r="AN87" s="20">
        <f>AN89+AN90</f>
        <v>567</v>
      </c>
      <c r="AO87" s="20">
        <f>AO89+AO90</f>
        <v>567</v>
      </c>
      <c r="AP87" s="20">
        <f>AP89+AP90</f>
        <v>567</v>
      </c>
      <c r="AQ87" s="20">
        <v>645.1</v>
      </c>
      <c r="AR87" s="20">
        <v>645.1</v>
      </c>
      <c r="AS87" s="20">
        <v>702.8</v>
      </c>
      <c r="AT87" s="20">
        <f>AT89+AT90+AT88</f>
        <v>702.80000000000007</v>
      </c>
      <c r="AU87" s="20">
        <f>AU89+AU90+AU88</f>
        <v>702.80000000000007</v>
      </c>
      <c r="AV87" s="20">
        <f>AV89+AV90+AV88</f>
        <v>702.77700000000004</v>
      </c>
      <c r="AW87" s="20">
        <f>AW89+AW90+AW88</f>
        <v>702.77700000000004</v>
      </c>
      <c r="AX87" s="20">
        <f t="shared" ref="AX87" si="81">AX89+AX90</f>
        <v>597.70000000000005</v>
      </c>
      <c r="AY87" s="20">
        <f>AY89+AY90</f>
        <v>614.4</v>
      </c>
      <c r="AZ87" s="20">
        <f>AZ89+AZ90</f>
        <v>632.29999999999995</v>
      </c>
      <c r="BA87" s="20">
        <f t="shared" ref="BA87:BB87" si="82">BA89+BA90</f>
        <v>597.70000000000005</v>
      </c>
      <c r="BB87" s="20">
        <f t="shared" si="82"/>
        <v>597.70000000000005</v>
      </c>
      <c r="BC87" s="20">
        <v>653</v>
      </c>
      <c r="BD87" s="20">
        <v>653</v>
      </c>
      <c r="BE87" s="20">
        <f>BE89+BE90+BE88</f>
        <v>653.01150999999993</v>
      </c>
      <c r="BF87" s="20">
        <f>BF89+BF90+BF88</f>
        <v>653.01150999999993</v>
      </c>
      <c r="BG87" s="20">
        <f t="shared" ref="BG87" si="83">BG89+BG90</f>
        <v>711.5</v>
      </c>
      <c r="BH87" s="20">
        <f>BH89+BH90</f>
        <v>739.3</v>
      </c>
      <c r="BI87" s="20">
        <f>BI89+BI90</f>
        <v>761.9</v>
      </c>
      <c r="BJ87" s="20">
        <f t="shared" ref="BJ87:BK87" si="84">BJ89+BJ90</f>
        <v>711.5</v>
      </c>
      <c r="BK87" s="20">
        <f t="shared" si="84"/>
        <v>725.80000000000007</v>
      </c>
      <c r="BL87" s="20">
        <f>BL89+BL90+BL88</f>
        <v>1048.2</v>
      </c>
      <c r="BM87" s="20">
        <f t="shared" si="70"/>
        <v>336.70000000000005</v>
      </c>
      <c r="BN87" s="20">
        <f t="shared" si="71"/>
        <v>147.32255797610682</v>
      </c>
      <c r="BO87" s="20">
        <v>1025</v>
      </c>
      <c r="BP87" s="20">
        <f>BP89+BP90+BP88</f>
        <v>1048.1578400000001</v>
      </c>
      <c r="BQ87" s="20">
        <f>BQ89+BQ90+BQ88</f>
        <v>1048.1578400000001</v>
      </c>
      <c r="BR87" s="20">
        <f t="shared" si="66"/>
        <v>147.31663246661984</v>
      </c>
      <c r="BS87" s="20">
        <f t="shared" si="67"/>
        <v>99.995977866819302</v>
      </c>
      <c r="BT87" s="20">
        <f t="shared" si="68"/>
        <v>160.51138822958882</v>
      </c>
    </row>
    <row r="88" spans="1:72" s="23" customFormat="1" ht="22.5" hidden="1" customHeight="1" x14ac:dyDescent="0.25">
      <c r="A88" s="10" t="s">
        <v>215</v>
      </c>
      <c r="B88" s="38" t="s">
        <v>216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>
        <v>2.04</v>
      </c>
      <c r="AB88" s="25">
        <v>2.04</v>
      </c>
      <c r="AC88" s="25">
        <v>2.04</v>
      </c>
      <c r="AD88" s="25"/>
      <c r="AE88" s="25"/>
      <c r="AF88" s="25"/>
      <c r="AG88" s="25"/>
      <c r="AH88" s="25"/>
      <c r="AI88" s="25"/>
      <c r="AJ88" s="25"/>
      <c r="AK88" s="25">
        <v>2.2000000000000002</v>
      </c>
      <c r="AL88" s="25">
        <v>2.1930000000000001</v>
      </c>
      <c r="AM88" s="25">
        <v>2.1930000000000001</v>
      </c>
      <c r="AN88" s="25"/>
      <c r="AO88" s="25"/>
      <c r="AP88" s="25"/>
      <c r="AQ88" s="25"/>
      <c r="AR88" s="25"/>
      <c r="AS88" s="25"/>
      <c r="AT88" s="25">
        <v>78.099999999999994</v>
      </c>
      <c r="AU88" s="25">
        <v>78.099999999999994</v>
      </c>
      <c r="AV88" s="25">
        <v>78.08</v>
      </c>
      <c r="AW88" s="25">
        <v>78.08</v>
      </c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>
        <v>299.2</v>
      </c>
      <c r="BK88" s="26">
        <v>299.2</v>
      </c>
      <c r="BL88" s="25">
        <v>299.2</v>
      </c>
      <c r="BM88" s="20">
        <f t="shared" si="70"/>
        <v>299.2</v>
      </c>
      <c r="BN88" s="20" t="e">
        <f t="shared" si="71"/>
        <v>#DIV/0!</v>
      </c>
      <c r="BO88" s="25"/>
      <c r="BP88" s="25">
        <v>299.19983999999999</v>
      </c>
      <c r="BQ88" s="25">
        <v>299.19983999999999</v>
      </c>
      <c r="BR88" s="25" t="e">
        <f t="shared" si="66"/>
        <v>#DIV/0!</v>
      </c>
      <c r="BS88" s="25">
        <f t="shared" si="67"/>
        <v>99.999946524064171</v>
      </c>
      <c r="BT88" s="25" t="e">
        <f t="shared" si="68"/>
        <v>#DIV/0!</v>
      </c>
    </row>
    <row r="89" spans="1:72" ht="22.5" hidden="1" customHeight="1" x14ac:dyDescent="0.25">
      <c r="A89" s="10" t="s">
        <v>217</v>
      </c>
      <c r="B89" s="38" t="s">
        <v>218</v>
      </c>
      <c r="C89" s="25">
        <v>55</v>
      </c>
      <c r="D89" s="25">
        <v>94</v>
      </c>
      <c r="E89" s="25">
        <v>94</v>
      </c>
      <c r="F89" s="25">
        <v>94</v>
      </c>
      <c r="G89" s="25">
        <v>85</v>
      </c>
      <c r="H89" s="25">
        <v>111.5</v>
      </c>
      <c r="I89" s="25">
        <v>111.5</v>
      </c>
      <c r="J89" s="25">
        <v>99</v>
      </c>
      <c r="K89" s="25">
        <v>99</v>
      </c>
      <c r="L89" s="25">
        <v>99</v>
      </c>
      <c r="M89" s="25">
        <v>99</v>
      </c>
      <c r="N89" s="25">
        <v>88</v>
      </c>
      <c r="O89" s="25">
        <v>88</v>
      </c>
      <c r="P89" s="25">
        <v>88</v>
      </c>
      <c r="Q89" s="25">
        <v>88</v>
      </c>
      <c r="R89" s="25">
        <v>101</v>
      </c>
      <c r="S89" s="25">
        <v>101</v>
      </c>
      <c r="T89" s="25">
        <v>101</v>
      </c>
      <c r="U89" s="25">
        <v>101</v>
      </c>
      <c r="V89" s="25">
        <v>97</v>
      </c>
      <c r="W89" s="25">
        <v>97</v>
      </c>
      <c r="X89" s="25">
        <v>97</v>
      </c>
      <c r="Y89" s="25">
        <v>97</v>
      </c>
      <c r="Z89" s="25">
        <v>100</v>
      </c>
      <c r="AA89" s="25">
        <v>100</v>
      </c>
      <c r="AB89" s="25">
        <v>100</v>
      </c>
      <c r="AC89" s="25">
        <v>100</v>
      </c>
      <c r="AD89" s="25">
        <v>79.400000000000006</v>
      </c>
      <c r="AE89" s="25">
        <v>113.1</v>
      </c>
      <c r="AF89" s="25">
        <v>113.1</v>
      </c>
      <c r="AG89" s="25">
        <v>113.1</v>
      </c>
      <c r="AH89" s="25">
        <f>22.1+87.8</f>
        <v>109.9</v>
      </c>
      <c r="AI89" s="25">
        <f>22.1+87.8</f>
        <v>109.9</v>
      </c>
      <c r="AJ89" s="25">
        <f>22.1+87.8</f>
        <v>109.9</v>
      </c>
      <c r="AK89" s="25">
        <v>109.9</v>
      </c>
      <c r="AL89" s="25">
        <v>109.9</v>
      </c>
      <c r="AM89" s="25">
        <v>109.9</v>
      </c>
      <c r="AN89" s="25">
        <v>100.6</v>
      </c>
      <c r="AO89" s="25">
        <v>100.6</v>
      </c>
      <c r="AP89" s="25">
        <v>100.6</v>
      </c>
      <c r="AQ89" s="25">
        <v>100.6</v>
      </c>
      <c r="AR89" s="25">
        <v>100.6</v>
      </c>
      <c r="AS89" s="25"/>
      <c r="AT89" s="25">
        <v>100.6</v>
      </c>
      <c r="AU89" s="25">
        <v>100.6</v>
      </c>
      <c r="AV89" s="25">
        <v>100.6</v>
      </c>
      <c r="AW89" s="25">
        <v>100.6</v>
      </c>
      <c r="AX89" s="25">
        <v>103.9</v>
      </c>
      <c r="AY89" s="25">
        <v>103.9</v>
      </c>
      <c r="AZ89" s="25">
        <v>103.9</v>
      </c>
      <c r="BA89" s="25">
        <v>103.9</v>
      </c>
      <c r="BB89" s="25">
        <v>103.9</v>
      </c>
      <c r="BC89" s="25">
        <v>103.9</v>
      </c>
      <c r="BD89" s="25">
        <v>103.9</v>
      </c>
      <c r="BE89" s="25">
        <v>103.9</v>
      </c>
      <c r="BF89" s="25">
        <v>103.9</v>
      </c>
      <c r="BG89" s="25">
        <v>116.8</v>
      </c>
      <c r="BH89" s="25">
        <v>116.8</v>
      </c>
      <c r="BI89" s="25">
        <v>116.8</v>
      </c>
      <c r="BJ89" s="20">
        <v>116.8</v>
      </c>
      <c r="BK89" s="27">
        <v>131.1</v>
      </c>
      <c r="BL89" s="25">
        <v>131.1</v>
      </c>
      <c r="BM89" s="20">
        <f t="shared" si="70"/>
        <v>14.299999999999997</v>
      </c>
      <c r="BN89" s="20">
        <f t="shared" si="71"/>
        <v>112.24315068493152</v>
      </c>
      <c r="BO89" s="25"/>
      <c r="BP89" s="25">
        <v>131.05000000000001</v>
      </c>
      <c r="BQ89" s="25">
        <v>131.05000000000001</v>
      </c>
      <c r="BR89" s="25">
        <f t="shared" si="66"/>
        <v>112.20034246575344</v>
      </c>
      <c r="BS89" s="25">
        <f t="shared" si="67"/>
        <v>99.961861174675832</v>
      </c>
      <c r="BT89" s="25">
        <f t="shared" si="68"/>
        <v>126.13089509143407</v>
      </c>
    </row>
    <row r="90" spans="1:72" ht="22.5" hidden="1" customHeight="1" x14ac:dyDescent="0.25">
      <c r="A90" s="10" t="s">
        <v>219</v>
      </c>
      <c r="B90" s="38" t="s">
        <v>220</v>
      </c>
      <c r="C90" s="25">
        <v>540.70000000000005</v>
      </c>
      <c r="D90" s="25">
        <v>503.9</v>
      </c>
      <c r="E90" s="25">
        <v>503.9</v>
      </c>
      <c r="F90" s="25">
        <v>503.9</v>
      </c>
      <c r="G90" s="25">
        <v>282</v>
      </c>
      <c r="H90" s="25">
        <v>400.9</v>
      </c>
      <c r="I90" s="25">
        <v>400.84440999999998</v>
      </c>
      <c r="J90" s="25">
        <v>780</v>
      </c>
      <c r="K90" s="25">
        <v>780</v>
      </c>
      <c r="L90" s="25">
        <v>780</v>
      </c>
      <c r="M90" s="25">
        <v>780</v>
      </c>
      <c r="N90" s="25">
        <v>788</v>
      </c>
      <c r="O90" s="25">
        <v>610.4</v>
      </c>
      <c r="P90" s="25">
        <v>610.4</v>
      </c>
      <c r="Q90" s="25">
        <v>610.4</v>
      </c>
      <c r="R90" s="25">
        <v>788</v>
      </c>
      <c r="S90" s="25">
        <v>552</v>
      </c>
      <c r="T90" s="25">
        <v>552</v>
      </c>
      <c r="U90" s="25">
        <v>552</v>
      </c>
      <c r="V90" s="25">
        <v>378.2</v>
      </c>
      <c r="W90" s="25">
        <v>378.2</v>
      </c>
      <c r="X90" s="25">
        <v>378.2</v>
      </c>
      <c r="Y90" s="25">
        <v>378.2</v>
      </c>
      <c r="Z90" s="25">
        <v>393.8</v>
      </c>
      <c r="AA90" s="25">
        <v>393.8</v>
      </c>
      <c r="AB90" s="25">
        <v>393.8</v>
      </c>
      <c r="AC90" s="25">
        <v>393.8</v>
      </c>
      <c r="AD90" s="25">
        <v>435.5</v>
      </c>
      <c r="AE90" s="25">
        <v>435.5</v>
      </c>
      <c r="AF90" s="25">
        <v>435.5</v>
      </c>
      <c r="AG90" s="25">
        <v>435.5</v>
      </c>
      <c r="AH90" s="25">
        <v>438</v>
      </c>
      <c r="AI90" s="25">
        <v>442.1</v>
      </c>
      <c r="AJ90" s="25">
        <v>455.2</v>
      </c>
      <c r="AK90" s="25">
        <v>481</v>
      </c>
      <c r="AL90" s="25">
        <v>481</v>
      </c>
      <c r="AM90" s="25">
        <v>481</v>
      </c>
      <c r="AN90" s="25">
        <v>466.4</v>
      </c>
      <c r="AO90" s="25">
        <v>466.4</v>
      </c>
      <c r="AP90" s="25">
        <v>466.4</v>
      </c>
      <c r="AQ90" s="25">
        <v>466.4</v>
      </c>
      <c r="AR90" s="25">
        <v>466.4</v>
      </c>
      <c r="AS90" s="25"/>
      <c r="AT90" s="25">
        <v>524.1</v>
      </c>
      <c r="AU90" s="25">
        <v>524.1</v>
      </c>
      <c r="AV90" s="25">
        <v>524.09699999999998</v>
      </c>
      <c r="AW90" s="25">
        <v>524.09699999999998</v>
      </c>
      <c r="AX90" s="25">
        <v>493.8</v>
      </c>
      <c r="AY90" s="25">
        <v>510.5</v>
      </c>
      <c r="AZ90" s="25">
        <v>528.4</v>
      </c>
      <c r="BA90" s="25">
        <v>493.8</v>
      </c>
      <c r="BB90" s="25">
        <v>493.8</v>
      </c>
      <c r="BC90" s="25">
        <v>549.1</v>
      </c>
      <c r="BD90" s="25">
        <v>549.1</v>
      </c>
      <c r="BE90" s="25">
        <v>549.11150999999995</v>
      </c>
      <c r="BF90" s="25">
        <v>549.11150999999995</v>
      </c>
      <c r="BG90" s="25">
        <v>594.70000000000005</v>
      </c>
      <c r="BH90" s="25">
        <v>622.5</v>
      </c>
      <c r="BI90" s="25">
        <v>645.1</v>
      </c>
      <c r="BJ90" s="20">
        <v>594.70000000000005</v>
      </c>
      <c r="BK90" s="27">
        <v>594.70000000000005</v>
      </c>
      <c r="BL90" s="25">
        <v>617.9</v>
      </c>
      <c r="BM90" s="20">
        <f t="shared" si="70"/>
        <v>23.199999999999932</v>
      </c>
      <c r="BN90" s="20">
        <f t="shared" si="71"/>
        <v>103.90112661846307</v>
      </c>
      <c r="BO90" s="25"/>
      <c r="BP90" s="25">
        <v>617.90800000000002</v>
      </c>
      <c r="BQ90" s="25">
        <v>617.90800000000002</v>
      </c>
      <c r="BR90" s="25">
        <f t="shared" si="66"/>
        <v>103.90247183453842</v>
      </c>
      <c r="BS90" s="25">
        <f t="shared" si="67"/>
        <v>100.00129470788156</v>
      </c>
      <c r="BT90" s="25">
        <f t="shared" si="68"/>
        <v>112.52869203196998</v>
      </c>
    </row>
    <row r="91" spans="1:72" ht="22.5" customHeight="1" x14ac:dyDescent="0.25">
      <c r="A91" s="18" t="s">
        <v>221</v>
      </c>
      <c r="B91" s="19" t="s">
        <v>222</v>
      </c>
      <c r="C91" s="20">
        <f t="shared" ref="C91:J91" si="85">C94</f>
        <v>3649.0920000000001</v>
      </c>
      <c r="D91" s="20">
        <f t="shared" si="85"/>
        <v>0</v>
      </c>
      <c r="E91" s="20">
        <f t="shared" si="85"/>
        <v>1357.2</v>
      </c>
      <c r="F91" s="20">
        <f t="shared" si="85"/>
        <v>1357.10265</v>
      </c>
      <c r="G91" s="20">
        <f t="shared" si="85"/>
        <v>0</v>
      </c>
      <c r="H91" s="20">
        <f t="shared" si="85"/>
        <v>2097.4</v>
      </c>
      <c r="I91" s="20">
        <f t="shared" si="85"/>
        <v>2095.3605499999999</v>
      </c>
      <c r="J91" s="20">
        <f t="shared" si="85"/>
        <v>2839</v>
      </c>
      <c r="K91" s="20">
        <f>K94+K93</f>
        <v>5046.5</v>
      </c>
      <c r="L91" s="20">
        <f>L94+L93</f>
        <v>5033.9957200000008</v>
      </c>
      <c r="M91" s="20">
        <f>M94+M93</f>
        <v>3776.9957199999999</v>
      </c>
      <c r="N91" s="20">
        <f>N94</f>
        <v>2866.4</v>
      </c>
      <c r="O91" s="20">
        <f>O94+O93+O92</f>
        <v>16891.599999999999</v>
      </c>
      <c r="P91" s="20">
        <f>P94+P93+P92</f>
        <v>16500.155650000001</v>
      </c>
      <c r="Q91" s="20">
        <f>Q94+Q93+Q92</f>
        <v>16500.155650000001</v>
      </c>
      <c r="R91" s="20">
        <f>R94</f>
        <v>15588.900000000001</v>
      </c>
      <c r="S91" s="20">
        <f>S94+S93+S92</f>
        <v>17582.2</v>
      </c>
      <c r="T91" s="20">
        <f>T94+T93+T92</f>
        <v>17582.15799</v>
      </c>
      <c r="U91" s="20">
        <f>U94+U93+U92</f>
        <v>16750.457989999999</v>
      </c>
      <c r="V91" s="20">
        <f>V94</f>
        <v>3385.5</v>
      </c>
      <c r="W91" s="20">
        <f>W94+W93+W92</f>
        <v>24735.200000000001</v>
      </c>
      <c r="X91" s="20">
        <f>X94+X93+X92</f>
        <v>24650.823359999999</v>
      </c>
      <c r="Y91" s="20">
        <f>Y94+Y93+Y92</f>
        <v>24650.823359999999</v>
      </c>
      <c r="Z91" s="20">
        <f>Z94</f>
        <v>1378.3</v>
      </c>
      <c r="AA91" s="20">
        <f>AA94+AA93+AA92</f>
        <v>5369</v>
      </c>
      <c r="AB91" s="20">
        <f>AB94+AB93+AB92</f>
        <v>5368.9667399999998</v>
      </c>
      <c r="AC91" s="20">
        <f>AC94+AC93+AC92</f>
        <v>5368.9667399999998</v>
      </c>
      <c r="AD91" s="20">
        <f>AD94</f>
        <v>3444.3</v>
      </c>
      <c r="AE91" s="20">
        <f>AE94+AE93+AE92</f>
        <v>12296.5</v>
      </c>
      <c r="AF91" s="20">
        <f>AF94+AF93+AF92</f>
        <v>12296.59355</v>
      </c>
      <c r="AG91" s="20">
        <f>AG94+AG93+AG92</f>
        <v>12296.59355</v>
      </c>
      <c r="AH91" s="20">
        <f>AH94</f>
        <v>6628.5</v>
      </c>
      <c r="AI91" s="20">
        <f>AI94</f>
        <v>5972.4</v>
      </c>
      <c r="AJ91" s="20">
        <f>AJ94</f>
        <v>5972.4</v>
      </c>
      <c r="AK91" s="20">
        <f>AK94+AK93+AK92</f>
        <v>39952.1</v>
      </c>
      <c r="AL91" s="20">
        <f>AL94+AL93+AL92</f>
        <v>39952.047599999998</v>
      </c>
      <c r="AM91" s="20">
        <f>AM94+AM93+AM92</f>
        <v>39952.047599999998</v>
      </c>
      <c r="AN91" s="20">
        <f>AN94</f>
        <v>1790.4</v>
      </c>
      <c r="AO91" s="20">
        <f>AO94</f>
        <v>1790.4</v>
      </c>
      <c r="AP91" s="20">
        <f>AP94</f>
        <v>1790.4</v>
      </c>
      <c r="AQ91" s="20">
        <v>2565.1999999999998</v>
      </c>
      <c r="AR91" s="20">
        <v>4693</v>
      </c>
      <c r="AS91" s="20">
        <v>22451</v>
      </c>
      <c r="AT91" s="20">
        <f>AT94+AT93+AT92</f>
        <v>25075.7</v>
      </c>
      <c r="AU91" s="20">
        <f>AU94+AU93+AU92</f>
        <v>31302.7</v>
      </c>
      <c r="AV91" s="20">
        <f>AV94+AV93+AV92</f>
        <v>31113.612809999999</v>
      </c>
      <c r="AW91" s="20">
        <f>AW94+AW93+AW92</f>
        <v>31113.612809999999</v>
      </c>
      <c r="AX91" s="20">
        <f t="shared" ref="AX91" si="86">AX94</f>
        <v>21606.3</v>
      </c>
      <c r="AY91" s="20">
        <f>AY94</f>
        <v>6292.6</v>
      </c>
      <c r="AZ91" s="20">
        <f>AZ94</f>
        <v>5178.3</v>
      </c>
      <c r="BA91" s="20">
        <v>25405.599999999999</v>
      </c>
      <c r="BB91" s="20">
        <v>30965.4</v>
      </c>
      <c r="BC91" s="20">
        <f t="shared" ref="BC91:BG91" si="87">BC94</f>
        <v>18194</v>
      </c>
      <c r="BD91" s="20">
        <f t="shared" si="87"/>
        <v>42264.6</v>
      </c>
      <c r="BE91" s="20">
        <f t="shared" si="87"/>
        <v>42260.086860000003</v>
      </c>
      <c r="BF91" s="20">
        <f>BF94+BF93+BF92</f>
        <v>42260.086860000003</v>
      </c>
      <c r="BG91" s="20">
        <f t="shared" si="87"/>
        <v>17031.5</v>
      </c>
      <c r="BH91" s="20">
        <f>BH94</f>
        <v>9154.7000000000007</v>
      </c>
      <c r="BI91" s="20">
        <f>BI94</f>
        <v>8547.5</v>
      </c>
      <c r="BJ91" s="20">
        <f t="shared" ref="BJ91:BQ91" si="88">BJ94</f>
        <v>18815.400000000001</v>
      </c>
      <c r="BK91" s="20">
        <f t="shared" si="88"/>
        <v>28454</v>
      </c>
      <c r="BL91" s="20">
        <f t="shared" si="88"/>
        <v>40543.4</v>
      </c>
      <c r="BM91" s="20">
        <f t="shared" si="70"/>
        <v>23511.9</v>
      </c>
      <c r="BN91" s="20">
        <f t="shared" si="71"/>
        <v>238.04949652115198</v>
      </c>
      <c r="BO91" s="20">
        <f t="shared" si="88"/>
        <v>37440.800000000003</v>
      </c>
      <c r="BP91" s="20">
        <f t="shared" si="88"/>
        <v>40543.415139999997</v>
      </c>
      <c r="BQ91" s="20">
        <f t="shared" si="88"/>
        <v>40543.415139999997</v>
      </c>
      <c r="BR91" s="20">
        <f t="shared" si="66"/>
        <v>238.04958541525997</v>
      </c>
      <c r="BS91" s="20">
        <f t="shared" si="67"/>
        <v>100.00003734269941</v>
      </c>
      <c r="BT91" s="20">
        <f t="shared" si="68"/>
        <v>95.937841477498552</v>
      </c>
    </row>
    <row r="92" spans="1:72" ht="22.5" hidden="1" customHeight="1" x14ac:dyDescent="0.25">
      <c r="A92" s="10" t="s">
        <v>223</v>
      </c>
      <c r="B92" s="39" t="s">
        <v>224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>
        <v>4220.3999999999996</v>
      </c>
      <c r="P92" s="20">
        <v>4220.4380000000001</v>
      </c>
      <c r="Q92" s="20">
        <v>4220.4380000000001</v>
      </c>
      <c r="R92" s="20"/>
      <c r="S92" s="20"/>
      <c r="T92" s="20"/>
      <c r="U92" s="25"/>
      <c r="V92" s="20"/>
      <c r="W92" s="20"/>
      <c r="X92" s="20"/>
      <c r="Y92" s="25"/>
      <c r="Z92" s="20"/>
      <c r="AA92" s="20"/>
      <c r="AB92" s="20"/>
      <c r="AC92" s="25"/>
      <c r="AD92" s="20"/>
      <c r="AE92" s="20"/>
      <c r="AF92" s="20"/>
      <c r="AG92" s="25"/>
      <c r="AH92" s="20"/>
      <c r="AI92" s="20"/>
      <c r="AJ92" s="20"/>
      <c r="AK92" s="20"/>
      <c r="AL92" s="20"/>
      <c r="AM92" s="25"/>
      <c r="AN92" s="20"/>
      <c r="AO92" s="20"/>
      <c r="AP92" s="20"/>
      <c r="AQ92" s="20"/>
      <c r="AR92" s="20"/>
      <c r="AS92" s="20"/>
      <c r="AT92" s="20"/>
      <c r="AU92" s="20"/>
      <c r="AV92" s="20"/>
      <c r="AW92" s="25"/>
      <c r="AX92" s="20"/>
      <c r="AY92" s="20"/>
      <c r="AZ92" s="20"/>
      <c r="BA92" s="20"/>
      <c r="BB92" s="20"/>
      <c r="BC92" s="20"/>
      <c r="BD92" s="20"/>
      <c r="BE92" s="20"/>
      <c r="BF92" s="25"/>
      <c r="BG92" s="20"/>
      <c r="BH92" s="20"/>
      <c r="BI92" s="20"/>
      <c r="BJ92" s="20"/>
      <c r="BK92" s="27"/>
      <c r="BL92" s="20"/>
      <c r="BM92" s="20">
        <f t="shared" si="70"/>
        <v>0</v>
      </c>
      <c r="BN92" s="20" t="e">
        <f t="shared" si="71"/>
        <v>#DIV/0!</v>
      </c>
      <c r="BO92" s="20"/>
      <c r="BP92" s="20"/>
      <c r="BQ92" s="20"/>
      <c r="BR92" s="20" t="e">
        <f t="shared" si="66"/>
        <v>#DIV/0!</v>
      </c>
      <c r="BS92" s="20" t="e">
        <f t="shared" si="67"/>
        <v>#DIV/0!</v>
      </c>
      <c r="BT92" s="20" t="e">
        <f t="shared" si="68"/>
        <v>#DIV/0!</v>
      </c>
    </row>
    <row r="93" spans="1:72" ht="22.5" hidden="1" customHeight="1" x14ac:dyDescent="0.25">
      <c r="A93" s="33" t="s">
        <v>225</v>
      </c>
      <c r="B93" s="28" t="s">
        <v>226</v>
      </c>
      <c r="C93" s="20"/>
      <c r="D93" s="20"/>
      <c r="E93" s="20"/>
      <c r="F93" s="20"/>
      <c r="G93" s="20"/>
      <c r="H93" s="20"/>
      <c r="I93" s="20"/>
      <c r="J93" s="20"/>
      <c r="K93" s="20">
        <v>269.89999999999998</v>
      </c>
      <c r="L93" s="20">
        <v>269.96859000000001</v>
      </c>
      <c r="M93" s="20">
        <v>269.96859000000001</v>
      </c>
      <c r="N93" s="20"/>
      <c r="O93" s="20"/>
      <c r="P93" s="20"/>
      <c r="Q93" s="20">
        <v>0</v>
      </c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7"/>
      <c r="BL93" s="20"/>
      <c r="BM93" s="20">
        <f t="shared" si="70"/>
        <v>0</v>
      </c>
      <c r="BN93" s="20" t="e">
        <f t="shared" si="71"/>
        <v>#DIV/0!</v>
      </c>
      <c r="BO93" s="20"/>
      <c r="BP93" s="20"/>
      <c r="BQ93" s="20"/>
      <c r="BR93" s="20" t="e">
        <f t="shared" si="66"/>
        <v>#DIV/0!</v>
      </c>
      <c r="BS93" s="20" t="e">
        <f t="shared" si="67"/>
        <v>#DIV/0!</v>
      </c>
      <c r="BT93" s="20" t="e">
        <f t="shared" si="68"/>
        <v>#DIV/0!</v>
      </c>
    </row>
    <row r="94" spans="1:72" s="23" customFormat="1" ht="22.5" hidden="1" customHeight="1" x14ac:dyDescent="0.25">
      <c r="A94" s="10" t="s">
        <v>227</v>
      </c>
      <c r="B94" s="39" t="s">
        <v>228</v>
      </c>
      <c r="C94" s="25">
        <v>3649.0920000000001</v>
      </c>
      <c r="D94" s="25">
        <v>0</v>
      </c>
      <c r="E94" s="25">
        <v>1357.2</v>
      </c>
      <c r="F94" s="25">
        <v>1357.10265</v>
      </c>
      <c r="G94" s="25">
        <v>0</v>
      </c>
      <c r="H94" s="25">
        <v>2097.4</v>
      </c>
      <c r="I94" s="25">
        <v>2095.3605499999999</v>
      </c>
      <c r="J94" s="25">
        <f>1582+1257</f>
        <v>2839</v>
      </c>
      <c r="K94" s="25">
        <f>3519.6+1257</f>
        <v>4776.6000000000004</v>
      </c>
      <c r="L94" s="25">
        <f>3507.02713+1257</f>
        <v>4764.0271300000004</v>
      </c>
      <c r="M94" s="25">
        <v>3507.0271299999999</v>
      </c>
      <c r="N94" s="25">
        <f>1883.7+982.7</f>
        <v>2866.4</v>
      </c>
      <c r="O94" s="25">
        <f>11688.5+982.7</f>
        <v>12671.2</v>
      </c>
      <c r="P94" s="25">
        <f>9910.88957+1386.12808+982.7</f>
        <v>12279.717650000001</v>
      </c>
      <c r="Q94" s="25">
        <f>9910.88957+1386.12808+982.7</f>
        <v>12279.717650000001</v>
      </c>
      <c r="R94" s="25">
        <f>14757.2+831.7</f>
        <v>15588.900000000001</v>
      </c>
      <c r="S94" s="25">
        <f>16750.5+831.7</f>
        <v>17582.2</v>
      </c>
      <c r="T94" s="25">
        <f>16750.45799+831.7</f>
        <v>17582.15799</v>
      </c>
      <c r="U94" s="25">
        <v>16750.457989999999</v>
      </c>
      <c r="V94" s="25">
        <v>3385.5</v>
      </c>
      <c r="W94" s="25">
        <v>24735.200000000001</v>
      </c>
      <c r="X94" s="25">
        <v>24650.823359999999</v>
      </c>
      <c r="Y94" s="25">
        <v>24650.823359999999</v>
      </c>
      <c r="Z94" s="25">
        <v>1378.3</v>
      </c>
      <c r="AA94" s="25">
        <v>5369</v>
      </c>
      <c r="AB94" s="25">
        <v>5368.9667399999998</v>
      </c>
      <c r="AC94" s="25">
        <v>5368.9667399999998</v>
      </c>
      <c r="AD94" s="25">
        <v>3444.3</v>
      </c>
      <c r="AE94" s="25">
        <v>12296.5</v>
      </c>
      <c r="AF94" s="25">
        <v>12296.59355</v>
      </c>
      <c r="AG94" s="25">
        <v>12296.59355</v>
      </c>
      <c r="AH94" s="25">
        <v>6628.5</v>
      </c>
      <c r="AI94" s="25">
        <v>5972.4</v>
      </c>
      <c r="AJ94" s="25">
        <v>5972.4</v>
      </c>
      <c r="AK94" s="25">
        <v>39952.1</v>
      </c>
      <c r="AL94" s="25">
        <v>39952.047599999998</v>
      </c>
      <c r="AM94" s="25">
        <v>39952.047599999998</v>
      </c>
      <c r="AN94" s="25">
        <v>1790.4</v>
      </c>
      <c r="AO94" s="25">
        <v>1790.4</v>
      </c>
      <c r="AP94" s="25">
        <v>1790.4</v>
      </c>
      <c r="AQ94" s="25">
        <v>1790.4</v>
      </c>
      <c r="AR94" s="25">
        <v>1790.4</v>
      </c>
      <c r="AS94" s="25"/>
      <c r="AT94" s="25">
        <v>25075.7</v>
      </c>
      <c r="AU94" s="25">
        <v>31302.7</v>
      </c>
      <c r="AV94" s="25">
        <v>31113.612809999999</v>
      </c>
      <c r="AW94" s="25">
        <v>31113.612809999999</v>
      </c>
      <c r="AX94" s="25">
        <v>21606.3</v>
      </c>
      <c r="AY94" s="25">
        <v>6292.6</v>
      </c>
      <c r="AZ94" s="25">
        <v>5178.3</v>
      </c>
      <c r="BA94" s="25"/>
      <c r="BB94" s="25">
        <v>21608.3</v>
      </c>
      <c r="BC94" s="25">
        <f>SUM(BC95:BC116)</f>
        <v>18194</v>
      </c>
      <c r="BD94" s="25">
        <v>42264.6</v>
      </c>
      <c r="BE94" s="25">
        <v>42260.086860000003</v>
      </c>
      <c r="BF94" s="25">
        <v>42260.086860000003</v>
      </c>
      <c r="BG94" s="25">
        <v>17031.5</v>
      </c>
      <c r="BH94" s="25">
        <v>9154.7000000000007</v>
      </c>
      <c r="BI94" s="25">
        <v>8547.5</v>
      </c>
      <c r="BJ94" s="25">
        <v>18815.400000000001</v>
      </c>
      <c r="BK94" s="26">
        <v>28454</v>
      </c>
      <c r="BL94" s="25">
        <v>40543.4</v>
      </c>
      <c r="BM94" s="20">
        <f t="shared" si="70"/>
        <v>23511.9</v>
      </c>
      <c r="BN94" s="20">
        <f t="shared" si="71"/>
        <v>238.04949652115198</v>
      </c>
      <c r="BO94" s="25">
        <v>37440.800000000003</v>
      </c>
      <c r="BP94" s="25">
        <v>40543.415139999997</v>
      </c>
      <c r="BQ94" s="25">
        <v>40543.415139999997</v>
      </c>
      <c r="BR94" s="25">
        <f t="shared" si="66"/>
        <v>238.04958541525997</v>
      </c>
      <c r="BS94" s="25">
        <f t="shared" si="67"/>
        <v>100.00003734269941</v>
      </c>
      <c r="BT94" s="25">
        <f t="shared" si="68"/>
        <v>95.937841477498552</v>
      </c>
    </row>
    <row r="95" spans="1:72" ht="21" hidden="1" customHeight="1" x14ac:dyDescent="0.25">
      <c r="A95" s="10"/>
      <c r="B95" s="39" t="s">
        <v>229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>
        <v>3109.3</v>
      </c>
      <c r="P95" s="25">
        <v>2717.9247300000002</v>
      </c>
      <c r="Q95" s="25">
        <v>2717.9247300000002</v>
      </c>
      <c r="R95" s="25">
        <v>2612</v>
      </c>
      <c r="S95" s="25">
        <v>3003.4</v>
      </c>
      <c r="T95" s="25">
        <v>3003.4</v>
      </c>
      <c r="U95" s="25"/>
      <c r="V95" s="25">
        <v>969.4</v>
      </c>
      <c r="W95" s="25">
        <v>969.4</v>
      </c>
      <c r="X95" s="25">
        <v>969.39994999999999</v>
      </c>
      <c r="Y95" s="25"/>
      <c r="Z95" s="25">
        <v>1200.3</v>
      </c>
      <c r="AA95" s="25">
        <v>1200.3</v>
      </c>
      <c r="AB95" s="25">
        <v>1200.325</v>
      </c>
      <c r="AC95" s="25"/>
      <c r="AD95" s="25">
        <f>1082.1+2300</f>
        <v>3382.1</v>
      </c>
      <c r="AE95" s="25">
        <f>1082.1+2300</f>
        <v>3382.1</v>
      </c>
      <c r="AF95" s="25">
        <f>1082.1+2300</f>
        <v>3382.1</v>
      </c>
      <c r="AG95" s="25"/>
      <c r="AH95" s="25">
        <v>5150</v>
      </c>
      <c r="AI95" s="25">
        <v>5150</v>
      </c>
      <c r="AJ95" s="25">
        <v>5150</v>
      </c>
      <c r="AK95" s="25">
        <v>5150</v>
      </c>
      <c r="AL95" s="25">
        <v>5150</v>
      </c>
      <c r="AM95" s="25"/>
      <c r="AN95" s="25">
        <v>1150</v>
      </c>
      <c r="AO95" s="25">
        <v>1150</v>
      </c>
      <c r="AP95" s="25">
        <v>1150</v>
      </c>
      <c r="AQ95" s="25">
        <v>1150</v>
      </c>
      <c r="AR95" s="25">
        <f>1150+664.2</f>
        <v>1814.2</v>
      </c>
      <c r="AS95" s="42">
        <f>1150+426.6</f>
        <v>1576.6</v>
      </c>
      <c r="AT95" s="25">
        <f>1150+583.7</f>
        <v>1733.7</v>
      </c>
      <c r="AU95" s="25">
        <f>1150+583.7</f>
        <v>1733.7</v>
      </c>
      <c r="AV95" s="25">
        <f>1150+583.7</f>
        <v>1733.7</v>
      </c>
      <c r="AW95" s="25"/>
      <c r="AX95" s="25">
        <f>2010</f>
        <v>2010</v>
      </c>
      <c r="AY95" s="25">
        <v>1150</v>
      </c>
      <c r="AZ95" s="25">
        <v>1150</v>
      </c>
      <c r="BA95" s="25">
        <f>2010</f>
        <v>2010</v>
      </c>
      <c r="BB95" s="25">
        <f>2010</f>
        <v>2010</v>
      </c>
      <c r="BC95" s="25">
        <v>5839.6</v>
      </c>
      <c r="BD95" s="25">
        <v>5839.6</v>
      </c>
      <c r="BE95" s="25">
        <v>5839.6</v>
      </c>
      <c r="BF95" s="25"/>
      <c r="BG95" s="25">
        <v>1150</v>
      </c>
      <c r="BH95" s="25">
        <v>1150</v>
      </c>
      <c r="BI95" s="25">
        <v>1150</v>
      </c>
      <c r="BJ95" s="20">
        <v>1150</v>
      </c>
      <c r="BK95" s="27">
        <v>1150</v>
      </c>
      <c r="BL95" s="25">
        <v>1150</v>
      </c>
      <c r="BM95" s="20">
        <f t="shared" si="70"/>
        <v>0</v>
      </c>
      <c r="BN95" s="20">
        <f t="shared" si="71"/>
        <v>100</v>
      </c>
      <c r="BO95" s="25">
        <v>1150</v>
      </c>
      <c r="BP95" s="25">
        <v>1150</v>
      </c>
      <c r="BQ95" s="25"/>
      <c r="BR95" s="25">
        <f t="shared" si="66"/>
        <v>100</v>
      </c>
      <c r="BS95" s="25">
        <f t="shared" si="67"/>
        <v>100</v>
      </c>
      <c r="BT95" s="25">
        <f t="shared" si="68"/>
        <v>19.693129666415508</v>
      </c>
    </row>
    <row r="96" spans="1:72" ht="20.25" hidden="1" customHeight="1" x14ac:dyDescent="0.25">
      <c r="A96" s="10"/>
      <c r="B96" s="39" t="s">
        <v>230</v>
      </c>
      <c r="C96" s="25"/>
      <c r="D96" s="25"/>
      <c r="E96" s="25">
        <v>1163.4000000000001</v>
      </c>
      <c r="F96" s="25">
        <v>1163.4437499999999</v>
      </c>
      <c r="G96" s="25"/>
      <c r="H96" s="25">
        <f>1946.4+26</f>
        <v>1972.4</v>
      </c>
      <c r="I96" s="25">
        <v>1972.3605500000001</v>
      </c>
      <c r="J96" s="25"/>
      <c r="K96" s="25">
        <v>1174.7</v>
      </c>
      <c r="L96" s="25">
        <v>1174.7375300000001</v>
      </c>
      <c r="M96" s="25">
        <v>1972.3605500000001</v>
      </c>
      <c r="N96" s="25"/>
      <c r="O96" s="25">
        <v>1036.5</v>
      </c>
      <c r="P96" s="25">
        <v>1036.2481499999999</v>
      </c>
      <c r="Q96" s="25">
        <v>1036.2481499999999</v>
      </c>
      <c r="R96" s="25"/>
      <c r="S96" s="25">
        <v>1071.9000000000001</v>
      </c>
      <c r="T96" s="25">
        <v>1071.9000000000001</v>
      </c>
      <c r="U96" s="25"/>
      <c r="V96" s="25"/>
      <c r="W96" s="25">
        <v>848.6</v>
      </c>
      <c r="X96" s="25">
        <v>848.61590000000001</v>
      </c>
      <c r="Y96" s="25"/>
      <c r="Z96" s="25"/>
      <c r="AA96" s="25">
        <v>916.8</v>
      </c>
      <c r="AB96" s="25">
        <v>916.75594999999998</v>
      </c>
      <c r="AC96" s="25"/>
      <c r="AD96" s="25"/>
      <c r="AE96" s="25">
        <f>700.6+1369.8</f>
        <v>2070.4</v>
      </c>
      <c r="AF96" s="25">
        <f>700.64605+1369.843</f>
        <v>2070.4890500000001</v>
      </c>
      <c r="AG96" s="25"/>
      <c r="AH96" s="25">
        <v>426.3</v>
      </c>
      <c r="AI96" s="25">
        <v>426.3</v>
      </c>
      <c r="AJ96" s="25">
        <v>426.3</v>
      </c>
      <c r="AK96" s="25">
        <v>2743</v>
      </c>
      <c r="AL96" s="25">
        <v>2742.98515</v>
      </c>
      <c r="AM96" s="25"/>
      <c r="AN96" s="25">
        <v>334.1</v>
      </c>
      <c r="AO96" s="25">
        <v>334.1</v>
      </c>
      <c r="AP96" s="25">
        <v>334.1</v>
      </c>
      <c r="AQ96" s="25">
        <v>334.1</v>
      </c>
      <c r="AR96" s="25">
        <v>334.1</v>
      </c>
      <c r="AS96" s="25"/>
      <c r="AT96" s="25">
        <f>1443.8+1123.1</f>
        <v>2566.8999999999996</v>
      </c>
      <c r="AU96" s="25">
        <f>1710.4+1665.6</f>
        <v>3376</v>
      </c>
      <c r="AV96" s="25">
        <f>1710.4+1476.4</f>
        <v>3186.8</v>
      </c>
      <c r="AW96" s="25"/>
      <c r="AX96" s="25">
        <v>723.2</v>
      </c>
      <c r="AY96" s="25">
        <v>0</v>
      </c>
      <c r="AZ96" s="25">
        <v>0</v>
      </c>
      <c r="BA96" s="25">
        <v>723.2</v>
      </c>
      <c r="BB96" s="25">
        <v>723.2</v>
      </c>
      <c r="BC96" s="25">
        <f>1038.9+1773.8</f>
        <v>2812.7</v>
      </c>
      <c r="BD96" s="25">
        <f>1038.9+1773.8</f>
        <v>2812.7</v>
      </c>
      <c r="BE96" s="25">
        <f>1375.9+1553.9</f>
        <v>2929.8</v>
      </c>
      <c r="BF96" s="25"/>
      <c r="BG96" s="25">
        <v>1052.0999999999999</v>
      </c>
      <c r="BH96" s="25">
        <v>0</v>
      </c>
      <c r="BI96" s="25">
        <v>0</v>
      </c>
      <c r="BJ96" s="20">
        <v>1236.0999999999999</v>
      </c>
      <c r="BK96" s="27">
        <v>2094.4</v>
      </c>
      <c r="BL96" s="25">
        <f>1390.1+1929</f>
        <v>3319.1</v>
      </c>
      <c r="BM96" s="20">
        <f t="shared" si="70"/>
        <v>2267</v>
      </c>
      <c r="BN96" s="20">
        <f t="shared" si="71"/>
        <v>315.47381427620951</v>
      </c>
      <c r="BO96" s="25"/>
      <c r="BP96" s="25">
        <f>1929.0165+1390.1595</f>
        <v>3319.1759999999999</v>
      </c>
      <c r="BQ96" s="25"/>
      <c r="BR96" s="25">
        <f t="shared" si="66"/>
        <v>315.48103792415174</v>
      </c>
      <c r="BS96" s="25">
        <f t="shared" si="67"/>
        <v>100.00228977734929</v>
      </c>
      <c r="BT96" s="25">
        <f t="shared" si="68"/>
        <v>113.29019045668645</v>
      </c>
    </row>
    <row r="97" spans="1:72" ht="21" hidden="1" customHeight="1" x14ac:dyDescent="0.25">
      <c r="A97" s="10"/>
      <c r="B97" s="39" t="s">
        <v>231</v>
      </c>
      <c r="C97" s="25"/>
      <c r="D97" s="25"/>
      <c r="E97" s="25">
        <v>68.7</v>
      </c>
      <c r="F97" s="25">
        <v>24.9999</v>
      </c>
      <c r="G97" s="25"/>
      <c r="H97" s="25">
        <v>25</v>
      </c>
      <c r="I97" s="25">
        <v>25</v>
      </c>
      <c r="J97" s="25">
        <v>25</v>
      </c>
      <c r="K97" s="25">
        <v>25</v>
      </c>
      <c r="L97" s="25">
        <v>25</v>
      </c>
      <c r="M97" s="25">
        <v>25</v>
      </c>
      <c r="N97" s="25">
        <v>25</v>
      </c>
      <c r="O97" s="25">
        <v>25</v>
      </c>
      <c r="P97" s="25">
        <v>25</v>
      </c>
      <c r="Q97" s="25">
        <v>25</v>
      </c>
      <c r="R97" s="25">
        <v>25</v>
      </c>
      <c r="S97" s="25">
        <v>25</v>
      </c>
      <c r="T97" s="25">
        <v>25</v>
      </c>
      <c r="U97" s="25"/>
      <c r="V97" s="25">
        <v>25</v>
      </c>
      <c r="W97" s="25">
        <v>25</v>
      </c>
      <c r="X97" s="25">
        <v>25</v>
      </c>
      <c r="Y97" s="25"/>
      <c r="Z97" s="25">
        <v>25</v>
      </c>
      <c r="AA97" s="25">
        <v>25</v>
      </c>
      <c r="AB97" s="25">
        <v>25</v>
      </c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0"/>
      <c r="BK97" s="27"/>
      <c r="BL97" s="25"/>
      <c r="BM97" s="20">
        <f t="shared" si="70"/>
        <v>0</v>
      </c>
      <c r="BN97" s="20" t="e">
        <f t="shared" si="71"/>
        <v>#DIV/0!</v>
      </c>
      <c r="BO97" s="25"/>
      <c r="BP97" s="25"/>
      <c r="BQ97" s="25"/>
      <c r="BR97" s="25" t="e">
        <f t="shared" si="66"/>
        <v>#DIV/0!</v>
      </c>
      <c r="BS97" s="25" t="e">
        <f t="shared" si="67"/>
        <v>#DIV/0!</v>
      </c>
      <c r="BT97" s="25" t="e">
        <f t="shared" si="68"/>
        <v>#DIV/0!</v>
      </c>
    </row>
    <row r="98" spans="1:72" ht="21" hidden="1" customHeight="1" x14ac:dyDescent="0.25">
      <c r="A98" s="10"/>
      <c r="B98" s="39" t="s">
        <v>232</v>
      </c>
      <c r="C98" s="25"/>
      <c r="D98" s="25"/>
      <c r="E98" s="25">
        <v>100</v>
      </c>
      <c r="F98" s="25"/>
      <c r="G98" s="25"/>
      <c r="H98" s="25"/>
      <c r="I98" s="25"/>
      <c r="J98" s="25"/>
      <c r="K98" s="25">
        <v>13</v>
      </c>
      <c r="L98" s="25">
        <v>13</v>
      </c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>
        <v>40</v>
      </c>
      <c r="X98" s="25">
        <v>40</v>
      </c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>
        <v>321.5</v>
      </c>
      <c r="AU98" s="25">
        <v>321.5</v>
      </c>
      <c r="AV98" s="25">
        <v>321.5</v>
      </c>
      <c r="AW98" s="25"/>
      <c r="AX98" s="25">
        <v>355</v>
      </c>
      <c r="AY98" s="25">
        <v>355</v>
      </c>
      <c r="AZ98" s="25">
        <v>355</v>
      </c>
      <c r="BA98" s="25">
        <v>355</v>
      </c>
      <c r="BB98" s="25">
        <v>355</v>
      </c>
      <c r="BC98" s="25">
        <v>355</v>
      </c>
      <c r="BD98" s="25">
        <v>355</v>
      </c>
      <c r="BE98" s="25">
        <v>355</v>
      </c>
      <c r="BF98" s="25"/>
      <c r="BG98" s="25">
        <v>355</v>
      </c>
      <c r="BH98" s="25">
        <v>355</v>
      </c>
      <c r="BI98" s="25">
        <v>355</v>
      </c>
      <c r="BJ98" s="20">
        <v>355</v>
      </c>
      <c r="BK98" s="27">
        <v>401</v>
      </c>
      <c r="BL98" s="25">
        <f>355+46</f>
        <v>401</v>
      </c>
      <c r="BM98" s="20">
        <f t="shared" si="70"/>
        <v>46</v>
      </c>
      <c r="BN98" s="20">
        <f t="shared" si="71"/>
        <v>112.95774647887325</v>
      </c>
      <c r="BO98" s="25"/>
      <c r="BP98" s="25">
        <f>355+46</f>
        <v>401</v>
      </c>
      <c r="BQ98" s="25"/>
      <c r="BR98" s="25">
        <f t="shared" si="66"/>
        <v>112.95774647887325</v>
      </c>
      <c r="BS98" s="25">
        <f t="shared" si="67"/>
        <v>100</v>
      </c>
      <c r="BT98" s="25">
        <f t="shared" si="68"/>
        <v>112.95774647887325</v>
      </c>
    </row>
    <row r="99" spans="1:72" ht="21" hidden="1" customHeight="1" x14ac:dyDescent="0.25">
      <c r="A99" s="10"/>
      <c r="B99" s="38" t="s">
        <v>233</v>
      </c>
      <c r="C99" s="25"/>
      <c r="D99" s="25"/>
      <c r="E99" s="25"/>
      <c r="F99" s="25"/>
      <c r="G99" s="25"/>
      <c r="H99" s="25">
        <v>100</v>
      </c>
      <c r="I99" s="25">
        <v>98</v>
      </c>
      <c r="J99" s="25"/>
      <c r="K99" s="25">
        <f>99+690.8</f>
        <v>789.8</v>
      </c>
      <c r="L99" s="25">
        <f>690.82+99</f>
        <v>789.82</v>
      </c>
      <c r="M99" s="25"/>
      <c r="N99" s="25"/>
      <c r="O99" s="25">
        <v>3691</v>
      </c>
      <c r="P99" s="25">
        <v>3690.9980999999998</v>
      </c>
      <c r="Q99" s="25">
        <v>3690.9980999999998</v>
      </c>
      <c r="R99" s="25">
        <v>7007.5</v>
      </c>
      <c r="S99" s="25">
        <v>7007.5</v>
      </c>
      <c r="T99" s="25">
        <v>7007.5</v>
      </c>
      <c r="U99" s="25"/>
      <c r="V99" s="25">
        <v>2010.1</v>
      </c>
      <c r="W99" s="25">
        <v>22682.7</v>
      </c>
      <c r="X99" s="25">
        <v>22598.275020000001</v>
      </c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>
        <f>4437+1809+1935.1</f>
        <v>8181.1</v>
      </c>
      <c r="AL99" s="25">
        <f>4437+3744.07595</f>
        <v>8181.0759500000004</v>
      </c>
      <c r="AM99" s="25"/>
      <c r="AN99" s="25">
        <v>221</v>
      </c>
      <c r="AO99" s="25">
        <v>221</v>
      </c>
      <c r="AP99" s="25">
        <v>221</v>
      </c>
      <c r="AQ99" s="25">
        <v>221</v>
      </c>
      <c r="AR99" s="25">
        <v>221</v>
      </c>
      <c r="AS99" s="25"/>
      <c r="AT99" s="25">
        <f>221+2025+2151.2</f>
        <v>4397.2</v>
      </c>
      <c r="AU99" s="25">
        <f>221+1962.9+2151.2</f>
        <v>4335.1000000000004</v>
      </c>
      <c r="AV99" s="25">
        <f>221+1962.9+2151.2</f>
        <v>4335.1000000000004</v>
      </c>
      <c r="AW99" s="25"/>
      <c r="AX99" s="25">
        <f>221+2000</f>
        <v>2221</v>
      </c>
      <c r="AY99" s="25">
        <v>221</v>
      </c>
      <c r="AZ99" s="25">
        <v>221</v>
      </c>
      <c r="BA99" s="25">
        <f t="shared" ref="BA99:BB99" si="89">221+2000</f>
        <v>2221</v>
      </c>
      <c r="BB99" s="25">
        <f t="shared" si="89"/>
        <v>2221</v>
      </c>
      <c r="BC99" s="25">
        <f>1260+3000+1300+2000+221</f>
        <v>7781</v>
      </c>
      <c r="BD99" s="25">
        <f>1260+3000+1300+2000+221</f>
        <v>7781</v>
      </c>
      <c r="BE99" s="25">
        <f>1260+3900+1300+2000+221</f>
        <v>8681</v>
      </c>
      <c r="BF99" s="25"/>
      <c r="BG99" s="25">
        <v>3879</v>
      </c>
      <c r="BH99" s="25">
        <v>3879</v>
      </c>
      <c r="BI99" s="25">
        <v>3879</v>
      </c>
      <c r="BJ99" s="20">
        <f>221+3658+400</f>
        <v>4279</v>
      </c>
      <c r="BK99" s="27">
        <f>221+3658+400</f>
        <v>4279</v>
      </c>
      <c r="BL99" s="25">
        <f>221+3658+350+250+339.9</f>
        <v>4818.8999999999996</v>
      </c>
      <c r="BM99" s="20">
        <f t="shared" si="70"/>
        <v>939.89999999999964</v>
      </c>
      <c r="BN99" s="20">
        <f t="shared" si="71"/>
        <v>124.230471771075</v>
      </c>
      <c r="BO99" s="25"/>
      <c r="BP99" s="25">
        <f>221+3658+350+250+339.96</f>
        <v>4818.96</v>
      </c>
      <c r="BQ99" s="25"/>
      <c r="BR99" s="25">
        <f t="shared" si="66"/>
        <v>124.23201856148492</v>
      </c>
      <c r="BS99" s="25">
        <f t="shared" si="67"/>
        <v>100.00124509742889</v>
      </c>
      <c r="BT99" s="25">
        <f t="shared" si="68"/>
        <v>55.51157700725723</v>
      </c>
    </row>
    <row r="100" spans="1:72" ht="21" hidden="1" customHeight="1" x14ac:dyDescent="0.25">
      <c r="A100" s="10"/>
      <c r="B100" s="38" t="s">
        <v>234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>
        <v>330</v>
      </c>
      <c r="T100" s="25">
        <v>330</v>
      </c>
      <c r="U100" s="25"/>
      <c r="V100" s="25"/>
      <c r="W100" s="25"/>
      <c r="X100" s="25"/>
      <c r="Y100" s="25"/>
      <c r="Z100" s="25"/>
      <c r="AA100" s="25">
        <f>2325.8+25.6+300</f>
        <v>2651.4</v>
      </c>
      <c r="AB100" s="25">
        <f>2325.76689+25.6189+300</f>
        <v>2651.3857899999998</v>
      </c>
      <c r="AC100" s="25"/>
      <c r="AD100" s="25"/>
      <c r="AE100" s="25">
        <f>100+1399.2+155.5</f>
        <v>1654.7</v>
      </c>
      <c r="AF100" s="25">
        <f>100+1399.21875+155.46875</f>
        <v>1654.6875</v>
      </c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>
        <v>675</v>
      </c>
      <c r="BH100" s="25">
        <v>675</v>
      </c>
      <c r="BI100" s="25">
        <v>675</v>
      </c>
      <c r="BJ100" s="20">
        <v>675</v>
      </c>
      <c r="BK100" s="27">
        <v>675</v>
      </c>
      <c r="BL100" s="25">
        <v>589.79999999999995</v>
      </c>
      <c r="BM100" s="20">
        <f t="shared" si="70"/>
        <v>-85.200000000000045</v>
      </c>
      <c r="BN100" s="20">
        <f t="shared" si="71"/>
        <v>87.37777777777778</v>
      </c>
      <c r="BO100" s="25"/>
      <c r="BP100" s="25">
        <v>589.86239999999998</v>
      </c>
      <c r="BQ100" s="25"/>
      <c r="BR100" s="25">
        <f t="shared" si="66"/>
        <v>87.387022222222228</v>
      </c>
      <c r="BS100" s="25">
        <f t="shared" si="67"/>
        <v>100.01057985757885</v>
      </c>
      <c r="BT100" s="25" t="e">
        <f t="shared" si="68"/>
        <v>#DIV/0!</v>
      </c>
    </row>
    <row r="101" spans="1:72" ht="21" hidden="1" customHeight="1" x14ac:dyDescent="0.25">
      <c r="A101" s="10"/>
      <c r="B101" s="38" t="s">
        <v>235</v>
      </c>
      <c r="C101" s="25"/>
      <c r="D101" s="25"/>
      <c r="E101" s="25">
        <v>25</v>
      </c>
      <c r="F101" s="25">
        <v>100</v>
      </c>
      <c r="G101" s="25"/>
      <c r="H101" s="25"/>
      <c r="I101" s="25"/>
      <c r="J101" s="25">
        <v>300</v>
      </c>
      <c r="K101" s="25">
        <v>0</v>
      </c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>
        <v>22.5</v>
      </c>
      <c r="AB101" s="25">
        <v>22.5</v>
      </c>
      <c r="AC101" s="25"/>
      <c r="AD101" s="25"/>
      <c r="AE101" s="25"/>
      <c r="AF101" s="25"/>
      <c r="AG101" s="25"/>
      <c r="AH101" s="25">
        <v>737.6</v>
      </c>
      <c r="AI101" s="25">
        <v>221</v>
      </c>
      <c r="AJ101" s="25">
        <v>221</v>
      </c>
      <c r="AK101" s="25">
        <f>1936.5+158</f>
        <v>2094.5</v>
      </c>
      <c r="AL101" s="25">
        <f>1936.5015+158</f>
        <v>2094.5015000000003</v>
      </c>
      <c r="AM101" s="25"/>
      <c r="AN101" s="25"/>
      <c r="AO101" s="25"/>
      <c r="AP101" s="25"/>
      <c r="AQ101" s="25"/>
      <c r="AR101" s="25"/>
      <c r="AS101" s="25"/>
      <c r="AT101" s="25">
        <f>27.1+996.3+35</f>
        <v>1058.4000000000001</v>
      </c>
      <c r="AU101" s="25">
        <f>27.1+996.3+35</f>
        <v>1058.4000000000001</v>
      </c>
      <c r="AV101" s="25">
        <f>35+996.3+27.1</f>
        <v>1058.3999999999999</v>
      </c>
      <c r="AW101" s="25"/>
      <c r="AX101" s="25"/>
      <c r="AY101" s="25"/>
      <c r="AZ101" s="25"/>
      <c r="BA101" s="25"/>
      <c r="BB101" s="25"/>
      <c r="BC101" s="25">
        <v>295</v>
      </c>
      <c r="BD101" s="25">
        <v>295</v>
      </c>
      <c r="BE101" s="25">
        <v>295</v>
      </c>
      <c r="BF101" s="25"/>
      <c r="BG101" s="25"/>
      <c r="BH101" s="25"/>
      <c r="BI101" s="25"/>
      <c r="BJ101" s="20"/>
      <c r="BK101" s="27"/>
      <c r="BL101" s="25"/>
      <c r="BM101" s="20">
        <f t="shared" si="70"/>
        <v>0</v>
      </c>
      <c r="BN101" s="20" t="e">
        <f t="shared" si="71"/>
        <v>#DIV/0!</v>
      </c>
      <c r="BO101" s="25"/>
      <c r="BP101" s="25"/>
      <c r="BQ101" s="25"/>
      <c r="BR101" s="25" t="e">
        <f t="shared" ref="BR101:BR125" si="90">BP101/BG101*100</f>
        <v>#DIV/0!</v>
      </c>
      <c r="BS101" s="25" t="e">
        <f t="shared" ref="BS101:BS125" si="91">BP101/BL101*100</f>
        <v>#DIV/0!</v>
      </c>
      <c r="BT101" s="25">
        <f t="shared" ref="BT101:BT125" si="92">BP101/BE101*100</f>
        <v>0</v>
      </c>
    </row>
    <row r="102" spans="1:72" ht="21" hidden="1" customHeight="1" x14ac:dyDescent="0.25">
      <c r="A102" s="10"/>
      <c r="B102" s="39" t="s">
        <v>236</v>
      </c>
      <c r="C102" s="25"/>
      <c r="D102" s="25"/>
      <c r="E102" s="25"/>
      <c r="F102" s="25">
        <v>68.659000000000006</v>
      </c>
      <c r="G102" s="25"/>
      <c r="H102" s="25"/>
      <c r="I102" s="25"/>
      <c r="J102" s="25"/>
      <c r="K102" s="25">
        <v>260</v>
      </c>
      <c r="L102" s="25">
        <v>260</v>
      </c>
      <c r="M102" s="25"/>
      <c r="N102" s="25"/>
      <c r="O102" s="25"/>
      <c r="P102" s="25"/>
      <c r="Q102" s="25"/>
      <c r="R102" s="25"/>
      <c r="S102" s="25">
        <v>200</v>
      </c>
      <c r="T102" s="25">
        <v>200</v>
      </c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0"/>
      <c r="BK102" s="27"/>
      <c r="BL102" s="25">
        <v>1700</v>
      </c>
      <c r="BM102" s="20">
        <f t="shared" si="70"/>
        <v>1700</v>
      </c>
      <c r="BN102" s="20" t="e">
        <f t="shared" si="71"/>
        <v>#DIV/0!</v>
      </c>
      <c r="BO102" s="25"/>
      <c r="BP102" s="25">
        <v>1700</v>
      </c>
      <c r="BQ102" s="25"/>
      <c r="BR102" s="25" t="e">
        <f t="shared" si="90"/>
        <v>#DIV/0!</v>
      </c>
      <c r="BS102" s="25">
        <f t="shared" si="91"/>
        <v>100</v>
      </c>
      <c r="BT102" s="25" t="e">
        <f t="shared" si="92"/>
        <v>#DIV/0!</v>
      </c>
    </row>
    <row r="103" spans="1:72" ht="21" hidden="1" customHeight="1" x14ac:dyDescent="0.25">
      <c r="A103" s="10"/>
      <c r="B103" s="39" t="s">
        <v>207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>
        <v>78</v>
      </c>
      <c r="W103" s="25">
        <v>78</v>
      </c>
      <c r="X103" s="25">
        <v>78</v>
      </c>
      <c r="Y103" s="25"/>
      <c r="Z103" s="25">
        <v>53</v>
      </c>
      <c r="AA103" s="25">
        <v>53</v>
      </c>
      <c r="AB103" s="25">
        <v>53</v>
      </c>
      <c r="AC103" s="25"/>
      <c r="AD103" s="25">
        <v>62.2</v>
      </c>
      <c r="AE103" s="25">
        <v>62.2</v>
      </c>
      <c r="AF103" s="25">
        <v>62.2</v>
      </c>
      <c r="AG103" s="25"/>
      <c r="AH103" s="25">
        <v>59</v>
      </c>
      <c r="AI103" s="25">
        <v>59.5</v>
      </c>
      <c r="AJ103" s="25">
        <v>59.5</v>
      </c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0"/>
      <c r="BK103" s="27"/>
      <c r="BL103" s="25"/>
      <c r="BM103" s="20">
        <f t="shared" si="70"/>
        <v>0</v>
      </c>
      <c r="BN103" s="20" t="e">
        <f t="shared" si="71"/>
        <v>#DIV/0!</v>
      </c>
      <c r="BO103" s="25"/>
      <c r="BP103" s="25"/>
      <c r="BQ103" s="25"/>
      <c r="BR103" s="25" t="e">
        <f t="shared" si="90"/>
        <v>#DIV/0!</v>
      </c>
      <c r="BS103" s="25" t="e">
        <f t="shared" si="91"/>
        <v>#DIV/0!</v>
      </c>
      <c r="BT103" s="25" t="e">
        <f t="shared" si="92"/>
        <v>#DIV/0!</v>
      </c>
    </row>
    <row r="104" spans="1:72" ht="21" hidden="1" customHeight="1" x14ac:dyDescent="0.25">
      <c r="A104" s="10"/>
      <c r="B104" s="39" t="s">
        <v>237</v>
      </c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>
        <v>20</v>
      </c>
      <c r="AO104" s="25">
        <v>20</v>
      </c>
      <c r="AP104" s="25">
        <v>20</v>
      </c>
      <c r="AQ104" s="25">
        <v>20</v>
      </c>
      <c r="AR104" s="25">
        <v>20</v>
      </c>
      <c r="AS104" s="25"/>
      <c r="AT104" s="25">
        <v>20</v>
      </c>
      <c r="AU104" s="25">
        <v>20</v>
      </c>
      <c r="AV104" s="25">
        <v>20</v>
      </c>
      <c r="AW104" s="25"/>
      <c r="AX104" s="25">
        <v>20</v>
      </c>
      <c r="AY104" s="25">
        <v>20</v>
      </c>
      <c r="AZ104" s="25">
        <v>20</v>
      </c>
      <c r="BA104" s="25">
        <v>20</v>
      </c>
      <c r="BB104" s="25">
        <v>20</v>
      </c>
      <c r="BC104" s="25">
        <v>20</v>
      </c>
      <c r="BD104" s="25">
        <v>20</v>
      </c>
      <c r="BE104" s="25">
        <v>20</v>
      </c>
      <c r="BF104" s="25"/>
      <c r="BG104" s="25">
        <v>20</v>
      </c>
      <c r="BH104" s="25">
        <v>20</v>
      </c>
      <c r="BI104" s="25">
        <v>20</v>
      </c>
      <c r="BJ104" s="20">
        <v>20</v>
      </c>
      <c r="BK104" s="27">
        <v>20</v>
      </c>
      <c r="BL104" s="25">
        <v>20</v>
      </c>
      <c r="BM104" s="20">
        <f t="shared" si="70"/>
        <v>0</v>
      </c>
      <c r="BN104" s="20">
        <f t="shared" si="71"/>
        <v>100</v>
      </c>
      <c r="BO104" s="25"/>
      <c r="BP104" s="25">
        <v>20</v>
      </c>
      <c r="BQ104" s="25"/>
      <c r="BR104" s="25">
        <f t="shared" si="90"/>
        <v>100</v>
      </c>
      <c r="BS104" s="25">
        <f t="shared" si="91"/>
        <v>100</v>
      </c>
      <c r="BT104" s="25">
        <f t="shared" si="92"/>
        <v>100</v>
      </c>
    </row>
    <row r="105" spans="1:72" ht="21" hidden="1" customHeight="1" x14ac:dyDescent="0.25">
      <c r="A105" s="10"/>
      <c r="B105" s="39" t="s">
        <v>238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>
        <v>80</v>
      </c>
      <c r="AU105" s="25">
        <v>80</v>
      </c>
      <c r="AV105" s="25">
        <v>80</v>
      </c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0"/>
      <c r="BK105" s="27"/>
      <c r="BL105" s="25"/>
      <c r="BM105" s="20">
        <f t="shared" si="70"/>
        <v>0</v>
      </c>
      <c r="BN105" s="20" t="e">
        <f t="shared" si="71"/>
        <v>#DIV/0!</v>
      </c>
      <c r="BO105" s="25"/>
      <c r="BP105" s="25"/>
      <c r="BQ105" s="25"/>
      <c r="BR105" s="25" t="e">
        <f t="shared" si="90"/>
        <v>#DIV/0!</v>
      </c>
      <c r="BS105" s="25" t="e">
        <f t="shared" si="91"/>
        <v>#DIV/0!</v>
      </c>
      <c r="BT105" s="25" t="e">
        <f t="shared" si="92"/>
        <v>#DIV/0!</v>
      </c>
    </row>
    <row r="106" spans="1:72" ht="21" hidden="1" customHeight="1" x14ac:dyDescent="0.25">
      <c r="A106" s="10"/>
      <c r="B106" s="39" t="s">
        <v>239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>
        <v>600</v>
      </c>
      <c r="P106" s="25">
        <v>599.96667000000002</v>
      </c>
      <c r="Q106" s="25">
        <v>599.96667000000002</v>
      </c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>
        <f>360+4635</f>
        <v>4995</v>
      </c>
      <c r="AF106" s="25">
        <f>360+4635</f>
        <v>4995</v>
      </c>
      <c r="AG106" s="25"/>
      <c r="AH106" s="25"/>
      <c r="AI106" s="25"/>
      <c r="AJ106" s="25"/>
      <c r="AK106" s="25">
        <v>17913.900000000001</v>
      </c>
      <c r="AL106" s="25">
        <v>17913.897000000001</v>
      </c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>
        <v>550</v>
      </c>
      <c r="BD106" s="25">
        <v>550</v>
      </c>
      <c r="BE106" s="25">
        <f>550+646.4</f>
        <v>1196.4000000000001</v>
      </c>
      <c r="BF106" s="25"/>
      <c r="BG106" s="25">
        <v>550</v>
      </c>
      <c r="BH106" s="25"/>
      <c r="BI106" s="25"/>
      <c r="BJ106" s="20">
        <v>550</v>
      </c>
      <c r="BK106" s="27">
        <v>550</v>
      </c>
      <c r="BL106" s="25">
        <f>550+2799.7</f>
        <v>3349.7</v>
      </c>
      <c r="BM106" s="20">
        <f t="shared" si="70"/>
        <v>2799.7</v>
      </c>
      <c r="BN106" s="20">
        <f t="shared" si="71"/>
        <v>609.0363636363636</v>
      </c>
      <c r="BO106" s="25"/>
      <c r="BP106" s="25">
        <f>550+2799.65</f>
        <v>3349.65</v>
      </c>
      <c r="BQ106" s="25"/>
      <c r="BR106" s="25">
        <f t="shared" si="90"/>
        <v>609.0272727272727</v>
      </c>
      <c r="BS106" s="25">
        <f t="shared" si="91"/>
        <v>99.998507329014558</v>
      </c>
      <c r="BT106" s="25">
        <f t="shared" si="92"/>
        <v>279.97743229689064</v>
      </c>
    </row>
    <row r="107" spans="1:72" ht="21" hidden="1" customHeight="1" x14ac:dyDescent="0.25">
      <c r="A107" s="10"/>
      <c r="B107" s="39" t="s">
        <v>240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>
        <v>140</v>
      </c>
      <c r="AI107" s="25"/>
      <c r="AJ107" s="25"/>
      <c r="AK107" s="25">
        <v>140</v>
      </c>
      <c r="AL107" s="25">
        <v>140</v>
      </c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0"/>
      <c r="BK107" s="27"/>
      <c r="BL107" s="25"/>
      <c r="BM107" s="20">
        <f t="shared" si="70"/>
        <v>0</v>
      </c>
      <c r="BN107" s="20" t="e">
        <f t="shared" si="71"/>
        <v>#DIV/0!</v>
      </c>
      <c r="BO107" s="25"/>
      <c r="BP107" s="25"/>
      <c r="BQ107" s="25"/>
      <c r="BR107" s="25" t="e">
        <f t="shared" si="90"/>
        <v>#DIV/0!</v>
      </c>
      <c r="BS107" s="25" t="e">
        <f t="shared" si="91"/>
        <v>#DIV/0!</v>
      </c>
      <c r="BT107" s="25" t="e">
        <f t="shared" si="92"/>
        <v>#DIV/0!</v>
      </c>
    </row>
    <row r="108" spans="1:72" ht="21" hidden="1" customHeight="1" x14ac:dyDescent="0.25">
      <c r="A108" s="10"/>
      <c r="B108" s="39" t="s">
        <v>241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>
        <v>29.4</v>
      </c>
      <c r="BD108" s="25">
        <v>29.4</v>
      </c>
      <c r="BE108" s="25">
        <v>29.4</v>
      </c>
      <c r="BF108" s="25"/>
      <c r="BG108" s="25"/>
      <c r="BH108" s="25"/>
      <c r="BI108" s="25"/>
      <c r="BJ108" s="20"/>
      <c r="BK108" s="27"/>
      <c r="BL108" s="25"/>
      <c r="BM108" s="20">
        <f t="shared" si="70"/>
        <v>0</v>
      </c>
      <c r="BN108" s="20" t="e">
        <f t="shared" si="71"/>
        <v>#DIV/0!</v>
      </c>
      <c r="BO108" s="25"/>
      <c r="BP108" s="25"/>
      <c r="BQ108" s="25"/>
      <c r="BR108" s="25" t="e">
        <f t="shared" si="90"/>
        <v>#DIV/0!</v>
      </c>
      <c r="BS108" s="25" t="e">
        <f t="shared" si="91"/>
        <v>#DIV/0!</v>
      </c>
      <c r="BT108" s="25">
        <f t="shared" si="92"/>
        <v>0</v>
      </c>
    </row>
    <row r="109" spans="1:72" ht="21" hidden="1" customHeight="1" x14ac:dyDescent="0.25">
      <c r="A109" s="10"/>
      <c r="B109" s="39" t="s">
        <v>242</v>
      </c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>
        <v>600</v>
      </c>
      <c r="S109" s="25">
        <v>600</v>
      </c>
      <c r="T109" s="25">
        <v>600</v>
      </c>
      <c r="U109" s="25"/>
      <c r="V109" s="25"/>
      <c r="W109" s="25"/>
      <c r="X109" s="25"/>
      <c r="Y109" s="25"/>
      <c r="Z109" s="25">
        <v>100</v>
      </c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0"/>
      <c r="BK109" s="27"/>
      <c r="BL109" s="25"/>
      <c r="BM109" s="20">
        <f t="shared" si="70"/>
        <v>0</v>
      </c>
      <c r="BN109" s="20" t="e">
        <f t="shared" si="71"/>
        <v>#DIV/0!</v>
      </c>
      <c r="BO109" s="25"/>
      <c r="BP109" s="25"/>
      <c r="BQ109" s="25"/>
      <c r="BR109" s="25" t="e">
        <f t="shared" si="90"/>
        <v>#DIV/0!</v>
      </c>
      <c r="BS109" s="25" t="e">
        <f t="shared" si="91"/>
        <v>#DIV/0!</v>
      </c>
      <c r="BT109" s="25" t="e">
        <f t="shared" si="92"/>
        <v>#DIV/0!</v>
      </c>
    </row>
    <row r="110" spans="1:72" ht="21" hidden="1" customHeight="1" x14ac:dyDescent="0.25">
      <c r="A110" s="10"/>
      <c r="B110" s="39" t="s">
        <v>243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>
        <v>876</v>
      </c>
      <c r="O110" s="25">
        <v>876</v>
      </c>
      <c r="P110" s="25">
        <v>876</v>
      </c>
      <c r="Q110" s="25">
        <v>876</v>
      </c>
      <c r="R110" s="25"/>
      <c r="S110" s="25"/>
      <c r="T110" s="25"/>
      <c r="U110" s="25"/>
      <c r="V110" s="25"/>
      <c r="W110" s="25"/>
      <c r="X110" s="25"/>
      <c r="Y110" s="25"/>
      <c r="Z110" s="25"/>
      <c r="AA110" s="25">
        <v>500</v>
      </c>
      <c r="AB110" s="25">
        <v>500</v>
      </c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0"/>
      <c r="BK110" s="27"/>
      <c r="BL110" s="25"/>
      <c r="BM110" s="20">
        <f t="shared" si="70"/>
        <v>0</v>
      </c>
      <c r="BN110" s="20" t="e">
        <f t="shared" si="71"/>
        <v>#DIV/0!</v>
      </c>
      <c r="BO110" s="25"/>
      <c r="BP110" s="25"/>
      <c r="BQ110" s="25"/>
      <c r="BR110" s="25" t="e">
        <f t="shared" si="90"/>
        <v>#DIV/0!</v>
      </c>
      <c r="BS110" s="25" t="e">
        <f t="shared" si="91"/>
        <v>#DIV/0!</v>
      </c>
      <c r="BT110" s="25" t="e">
        <f t="shared" si="92"/>
        <v>#DIV/0!</v>
      </c>
    </row>
    <row r="111" spans="1:72" ht="21" hidden="1" customHeight="1" x14ac:dyDescent="0.25">
      <c r="A111" s="10"/>
      <c r="B111" s="39" t="s">
        <v>244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>
        <v>1368.2</v>
      </c>
      <c r="P111" s="25">
        <v>1368.18</v>
      </c>
      <c r="Q111" s="25">
        <v>1368.18</v>
      </c>
      <c r="R111" s="25">
        <v>3400</v>
      </c>
      <c r="S111" s="25">
        <v>3400</v>
      </c>
      <c r="T111" s="25">
        <v>3400</v>
      </c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>
        <v>3500</v>
      </c>
      <c r="AL111" s="25">
        <v>3029.2801199999999</v>
      </c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0"/>
      <c r="BK111" s="27"/>
      <c r="BL111" s="25"/>
      <c r="BM111" s="20">
        <f t="shared" si="70"/>
        <v>0</v>
      </c>
      <c r="BN111" s="20" t="e">
        <f t="shared" si="71"/>
        <v>#DIV/0!</v>
      </c>
      <c r="BO111" s="25"/>
      <c r="BP111" s="25"/>
      <c r="BQ111" s="25"/>
      <c r="BR111" s="25" t="e">
        <f t="shared" si="90"/>
        <v>#DIV/0!</v>
      </c>
      <c r="BS111" s="25" t="e">
        <f t="shared" si="91"/>
        <v>#DIV/0!</v>
      </c>
      <c r="BT111" s="25" t="e">
        <f t="shared" si="92"/>
        <v>#DIV/0!</v>
      </c>
    </row>
    <row r="112" spans="1:72" ht="21" hidden="1" customHeight="1" x14ac:dyDescent="0.25">
      <c r="A112" s="10"/>
      <c r="B112" s="39" t="s">
        <v>245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>
        <v>132.1</v>
      </c>
      <c r="AF112" s="25">
        <v>132.11699999999999</v>
      </c>
      <c r="AG112" s="25"/>
      <c r="AH112" s="25"/>
      <c r="AI112" s="25"/>
      <c r="AJ112" s="25"/>
      <c r="AK112" s="25">
        <v>114</v>
      </c>
      <c r="AL112" s="25">
        <v>114</v>
      </c>
      <c r="AM112" s="25"/>
      <c r="AN112" s="25"/>
      <c r="AO112" s="25"/>
      <c r="AP112" s="25"/>
      <c r="AQ112" s="25"/>
      <c r="AR112" s="25"/>
      <c r="AS112" s="25"/>
      <c r="AT112" s="25">
        <v>219</v>
      </c>
      <c r="AU112" s="25">
        <v>219</v>
      </c>
      <c r="AV112" s="25">
        <v>219</v>
      </c>
      <c r="AW112" s="25"/>
      <c r="AX112" s="25"/>
      <c r="AY112" s="25"/>
      <c r="AZ112" s="25"/>
      <c r="BA112" s="25"/>
      <c r="BB112" s="25"/>
      <c r="BC112" s="25">
        <v>97.7</v>
      </c>
      <c r="BD112" s="25">
        <v>97.7</v>
      </c>
      <c r="BE112" s="25">
        <v>97.7</v>
      </c>
      <c r="BF112" s="25"/>
      <c r="BG112" s="25"/>
      <c r="BH112" s="25"/>
      <c r="BI112" s="25"/>
      <c r="BJ112" s="20"/>
      <c r="BK112" s="27"/>
      <c r="BL112" s="25">
        <v>58.8</v>
      </c>
      <c r="BM112" s="20">
        <f t="shared" si="70"/>
        <v>58.8</v>
      </c>
      <c r="BN112" s="20" t="e">
        <f t="shared" si="71"/>
        <v>#DIV/0!</v>
      </c>
      <c r="BO112" s="25"/>
      <c r="BP112" s="25">
        <v>58.823999999999998</v>
      </c>
      <c r="BQ112" s="25"/>
      <c r="BR112" s="25" t="e">
        <f t="shared" si="90"/>
        <v>#DIV/0!</v>
      </c>
      <c r="BS112" s="25">
        <f t="shared" si="91"/>
        <v>100.04081632653062</v>
      </c>
      <c r="BT112" s="25">
        <f t="shared" si="92"/>
        <v>60.208802456499491</v>
      </c>
    </row>
    <row r="113" spans="1:72" ht="21" hidden="1" customHeight="1" x14ac:dyDescent="0.25">
      <c r="A113" s="10"/>
      <c r="B113" s="39" t="s">
        <v>246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>
        <v>100</v>
      </c>
      <c r="AU113" s="25">
        <v>100</v>
      </c>
      <c r="AV113" s="25">
        <v>100</v>
      </c>
      <c r="AW113" s="25"/>
      <c r="AX113" s="25"/>
      <c r="AY113" s="25"/>
      <c r="AZ113" s="25"/>
      <c r="BA113" s="25"/>
      <c r="BB113" s="25"/>
      <c r="BC113" s="25">
        <v>298.60000000000002</v>
      </c>
      <c r="BD113" s="25">
        <v>298.60000000000002</v>
      </c>
      <c r="BE113" s="25">
        <v>298.60000000000002</v>
      </c>
      <c r="BF113" s="25"/>
      <c r="BG113" s="25"/>
      <c r="BH113" s="25"/>
      <c r="BI113" s="25"/>
      <c r="BJ113" s="20"/>
      <c r="BK113" s="27"/>
      <c r="BL113" s="25"/>
      <c r="BM113" s="20">
        <f t="shared" si="70"/>
        <v>0</v>
      </c>
      <c r="BN113" s="20" t="e">
        <f t="shared" si="71"/>
        <v>#DIV/0!</v>
      </c>
      <c r="BO113" s="25"/>
      <c r="BP113" s="25"/>
      <c r="BQ113" s="25"/>
      <c r="BR113" s="25" t="e">
        <f t="shared" si="90"/>
        <v>#DIV/0!</v>
      </c>
      <c r="BS113" s="25" t="e">
        <f t="shared" si="91"/>
        <v>#DIV/0!</v>
      </c>
      <c r="BT113" s="25">
        <f t="shared" si="92"/>
        <v>0</v>
      </c>
    </row>
    <row r="114" spans="1:72" ht="21" hidden="1" customHeight="1" x14ac:dyDescent="0.25">
      <c r="A114" s="10"/>
      <c r="B114" s="39" t="s">
        <v>247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0"/>
      <c r="BK114" s="27"/>
      <c r="BL114" s="25">
        <v>50</v>
      </c>
      <c r="BM114" s="20">
        <f t="shared" si="70"/>
        <v>50</v>
      </c>
      <c r="BN114" s="20" t="e">
        <f t="shared" si="71"/>
        <v>#DIV/0!</v>
      </c>
      <c r="BO114" s="25"/>
      <c r="BP114" s="25">
        <v>50</v>
      </c>
      <c r="BQ114" s="25"/>
      <c r="BR114" s="25" t="e">
        <f t="shared" si="90"/>
        <v>#DIV/0!</v>
      </c>
      <c r="BS114" s="25">
        <f t="shared" si="91"/>
        <v>100</v>
      </c>
      <c r="BT114" s="25" t="e">
        <f t="shared" si="92"/>
        <v>#DIV/0!</v>
      </c>
    </row>
    <row r="115" spans="1:72" ht="20.25" hidden="1" customHeight="1" x14ac:dyDescent="0.25">
      <c r="A115" s="10"/>
      <c r="B115" s="39" t="s">
        <v>248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>
        <v>281</v>
      </c>
      <c r="S115" s="25">
        <v>281</v>
      </c>
      <c r="T115" s="25">
        <v>281</v>
      </c>
      <c r="U115" s="25"/>
      <c r="V115" s="25">
        <v>303</v>
      </c>
      <c r="W115" s="25">
        <v>0</v>
      </c>
      <c r="X115" s="25">
        <v>0</v>
      </c>
      <c r="Y115" s="25"/>
      <c r="Z115" s="25"/>
      <c r="AA115" s="25"/>
      <c r="AB115" s="25"/>
      <c r="AC115" s="25"/>
      <c r="AD115" s="25"/>
      <c r="AE115" s="25"/>
      <c r="AF115" s="25"/>
      <c r="AG115" s="25"/>
      <c r="AH115" s="25">
        <v>115.6</v>
      </c>
      <c r="AI115" s="25">
        <v>115.6</v>
      </c>
      <c r="AJ115" s="25">
        <v>115.6</v>
      </c>
      <c r="AK115" s="25">
        <v>115.6</v>
      </c>
      <c r="AL115" s="25">
        <v>115.6</v>
      </c>
      <c r="AM115" s="25"/>
      <c r="AN115" s="25">
        <v>65.3</v>
      </c>
      <c r="AO115" s="25">
        <v>65.3</v>
      </c>
      <c r="AP115" s="25">
        <v>65.3</v>
      </c>
      <c r="AQ115" s="25">
        <v>65.3</v>
      </c>
      <c r="AR115" s="25">
        <v>65.3</v>
      </c>
      <c r="AS115" s="25"/>
      <c r="AT115" s="25">
        <v>65.3</v>
      </c>
      <c r="AU115" s="25">
        <v>65.3</v>
      </c>
      <c r="AV115" s="25">
        <v>65.3</v>
      </c>
      <c r="AW115" s="25"/>
      <c r="AX115" s="25">
        <v>115</v>
      </c>
      <c r="AY115" s="25">
        <v>115</v>
      </c>
      <c r="AZ115" s="25">
        <v>115</v>
      </c>
      <c r="BA115" s="25">
        <v>115</v>
      </c>
      <c r="BB115" s="25">
        <v>115</v>
      </c>
      <c r="BC115" s="25">
        <v>115</v>
      </c>
      <c r="BD115" s="25">
        <v>115</v>
      </c>
      <c r="BE115" s="25">
        <f>115+568</f>
        <v>683</v>
      </c>
      <c r="BF115" s="25"/>
      <c r="BG115" s="25">
        <v>161</v>
      </c>
      <c r="BH115" s="25">
        <v>161</v>
      </c>
      <c r="BI115" s="25">
        <v>161</v>
      </c>
      <c r="BJ115" s="20">
        <v>161</v>
      </c>
      <c r="BK115" s="27">
        <v>161</v>
      </c>
      <c r="BL115" s="25">
        <v>161</v>
      </c>
      <c r="BM115" s="20">
        <f t="shared" si="70"/>
        <v>0</v>
      </c>
      <c r="BN115" s="20">
        <f t="shared" si="71"/>
        <v>100</v>
      </c>
      <c r="BO115" s="25"/>
      <c r="BP115" s="25">
        <v>161</v>
      </c>
      <c r="BQ115" s="25"/>
      <c r="BR115" s="25">
        <f t="shared" si="90"/>
        <v>100</v>
      </c>
      <c r="BS115" s="25">
        <f t="shared" si="91"/>
        <v>100</v>
      </c>
      <c r="BT115" s="25">
        <f t="shared" si="92"/>
        <v>23.572474377745241</v>
      </c>
    </row>
    <row r="116" spans="1:72" ht="21" hidden="1" customHeight="1" x14ac:dyDescent="0.25">
      <c r="A116" s="10"/>
      <c r="B116" s="39" t="s">
        <v>249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>
        <v>91.5</v>
      </c>
      <c r="X116" s="25">
        <v>91.532489999999996</v>
      </c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0"/>
      <c r="BK116" s="27"/>
      <c r="BL116" s="25"/>
      <c r="BM116" s="20">
        <f t="shared" si="70"/>
        <v>0</v>
      </c>
      <c r="BN116" s="20" t="e">
        <f t="shared" si="71"/>
        <v>#DIV/0!</v>
      </c>
      <c r="BO116" s="25"/>
      <c r="BP116" s="25"/>
      <c r="BQ116" s="25"/>
      <c r="BR116" s="25" t="e">
        <f t="shared" si="90"/>
        <v>#DIV/0!</v>
      </c>
      <c r="BS116" s="25" t="e">
        <f t="shared" si="91"/>
        <v>#DIV/0!</v>
      </c>
      <c r="BT116" s="25" t="e">
        <f t="shared" si="92"/>
        <v>#DIV/0!</v>
      </c>
    </row>
    <row r="117" spans="1:72" ht="21" hidden="1" customHeight="1" x14ac:dyDescent="0.25">
      <c r="A117" s="10"/>
      <c r="B117" s="39" t="s">
        <v>250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>
        <v>14513.7</v>
      </c>
      <c r="AU117" s="25">
        <v>19993.7</v>
      </c>
      <c r="AV117" s="25">
        <v>19993.8</v>
      </c>
      <c r="AW117" s="25"/>
      <c r="AX117" s="25">
        <v>16162.1</v>
      </c>
      <c r="AY117" s="25">
        <v>4431.6000000000004</v>
      </c>
      <c r="AZ117" s="25">
        <v>3317.3</v>
      </c>
      <c r="BA117" s="25">
        <v>16162.1</v>
      </c>
      <c r="BB117" s="25">
        <v>16162.1</v>
      </c>
      <c r="BC117" s="25">
        <v>21179.1</v>
      </c>
      <c r="BD117" s="25">
        <v>21179.1</v>
      </c>
      <c r="BE117" s="25">
        <v>21839</v>
      </c>
      <c r="BF117" s="25"/>
      <c r="BG117" s="25">
        <v>9189.4</v>
      </c>
      <c r="BH117" s="25">
        <v>2914.7</v>
      </c>
      <c r="BI117" s="25">
        <v>2307.5</v>
      </c>
      <c r="BJ117" s="20">
        <v>10389.299999999999</v>
      </c>
      <c r="BK117" s="27">
        <v>19123.599999999999</v>
      </c>
      <c r="BL117" s="25">
        <v>24925.1</v>
      </c>
      <c r="BM117" s="20">
        <f t="shared" si="70"/>
        <v>15735.699999999999</v>
      </c>
      <c r="BN117" s="20">
        <f t="shared" si="71"/>
        <v>271.23751278647137</v>
      </c>
      <c r="BO117" s="25"/>
      <c r="BP117" s="25">
        <v>24924.942800000001</v>
      </c>
      <c r="BQ117" s="25"/>
      <c r="BR117" s="25">
        <f t="shared" si="90"/>
        <v>271.23580211983375</v>
      </c>
      <c r="BS117" s="25">
        <f t="shared" si="91"/>
        <v>99.999369310454128</v>
      </c>
      <c r="BT117" s="25">
        <f t="shared" si="92"/>
        <v>114.13042172260634</v>
      </c>
    </row>
    <row r="118" spans="1:72" ht="22.5" hidden="1" customHeight="1" x14ac:dyDescent="0.25">
      <c r="A118" s="10" t="s">
        <v>251</v>
      </c>
      <c r="B118" s="39" t="s">
        <v>252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>
        <v>0</v>
      </c>
      <c r="N118" s="25"/>
      <c r="O118" s="25"/>
      <c r="P118" s="25"/>
      <c r="Q118" s="25">
        <v>0</v>
      </c>
      <c r="R118" s="25"/>
      <c r="S118" s="25"/>
      <c r="T118" s="25"/>
      <c r="U118" s="25">
        <v>74239.675010000006</v>
      </c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0"/>
      <c r="BK118" s="27"/>
      <c r="BL118" s="25"/>
      <c r="BM118" s="20">
        <f t="shared" si="70"/>
        <v>0</v>
      </c>
      <c r="BN118" s="20" t="e">
        <f t="shared" si="71"/>
        <v>#DIV/0!</v>
      </c>
      <c r="BO118" s="25"/>
      <c r="BP118" s="25"/>
      <c r="BQ118" s="25"/>
      <c r="BR118" s="25" t="e">
        <f t="shared" si="90"/>
        <v>#DIV/0!</v>
      </c>
      <c r="BS118" s="25" t="e">
        <f t="shared" si="91"/>
        <v>#DIV/0!</v>
      </c>
      <c r="BT118" s="25" t="e">
        <f t="shared" si="92"/>
        <v>#DIV/0!</v>
      </c>
    </row>
    <row r="119" spans="1:72" ht="22.5" hidden="1" customHeight="1" x14ac:dyDescent="0.25">
      <c r="A119" s="18" t="s">
        <v>253</v>
      </c>
      <c r="B119" s="19" t="s">
        <v>254</v>
      </c>
      <c r="C119" s="20">
        <f t="shared" ref="C119:AL119" si="93">C120</f>
        <v>0</v>
      </c>
      <c r="D119" s="20">
        <f t="shared" si="93"/>
        <v>0</v>
      </c>
      <c r="E119" s="20">
        <f t="shared" si="93"/>
        <v>0</v>
      </c>
      <c r="F119" s="20">
        <f t="shared" si="93"/>
        <v>0</v>
      </c>
      <c r="G119" s="20">
        <f t="shared" si="93"/>
        <v>0</v>
      </c>
      <c r="H119" s="20">
        <f t="shared" si="93"/>
        <v>0</v>
      </c>
      <c r="I119" s="20">
        <f t="shared" si="93"/>
        <v>0</v>
      </c>
      <c r="J119" s="20">
        <f t="shared" si="93"/>
        <v>0</v>
      </c>
      <c r="K119" s="20">
        <f t="shared" si="93"/>
        <v>242.5</v>
      </c>
      <c r="L119" s="20">
        <f>L120</f>
        <v>242.53899999999999</v>
      </c>
      <c r="M119" s="20">
        <f>M120</f>
        <v>5950.4635799999996</v>
      </c>
      <c r="N119" s="20">
        <f t="shared" si="93"/>
        <v>0</v>
      </c>
      <c r="O119" s="20">
        <f t="shared" si="93"/>
        <v>100</v>
      </c>
      <c r="P119" s="20">
        <f>P120</f>
        <v>100</v>
      </c>
      <c r="Q119" s="20">
        <f>Q120</f>
        <v>16793.878639999999</v>
      </c>
      <c r="R119" s="20">
        <f t="shared" si="93"/>
        <v>0</v>
      </c>
      <c r="S119" s="20">
        <f t="shared" si="93"/>
        <v>50</v>
      </c>
      <c r="T119" s="20">
        <f>T120</f>
        <v>50</v>
      </c>
      <c r="U119" s="20">
        <f>U120</f>
        <v>1184.49161</v>
      </c>
      <c r="V119" s="20">
        <f t="shared" si="93"/>
        <v>0</v>
      </c>
      <c r="W119" s="20">
        <f t="shared" si="93"/>
        <v>0</v>
      </c>
      <c r="X119" s="20">
        <f>X120</f>
        <v>0</v>
      </c>
      <c r="Y119" s="20">
        <f>Y120</f>
        <v>0</v>
      </c>
      <c r="Z119" s="20">
        <f t="shared" si="93"/>
        <v>0</v>
      </c>
      <c r="AA119" s="20">
        <f t="shared" si="93"/>
        <v>0</v>
      </c>
      <c r="AB119" s="20">
        <f>AB120</f>
        <v>0</v>
      </c>
      <c r="AC119" s="20">
        <f>AC120</f>
        <v>164562.53552</v>
      </c>
      <c r="AD119" s="20">
        <f t="shared" si="93"/>
        <v>0</v>
      </c>
      <c r="AE119" s="20">
        <f t="shared" si="93"/>
        <v>0</v>
      </c>
      <c r="AF119" s="20">
        <f t="shared" si="93"/>
        <v>0</v>
      </c>
      <c r="AG119" s="20">
        <f t="shared" si="93"/>
        <v>0</v>
      </c>
      <c r="AH119" s="20">
        <f t="shared" si="93"/>
        <v>0</v>
      </c>
      <c r="AI119" s="20">
        <f t="shared" si="93"/>
        <v>0</v>
      </c>
      <c r="AJ119" s="20">
        <f t="shared" si="93"/>
        <v>0</v>
      </c>
      <c r="AK119" s="20">
        <f t="shared" si="93"/>
        <v>421</v>
      </c>
      <c r="AL119" s="20">
        <f t="shared" si="93"/>
        <v>421</v>
      </c>
      <c r="AM119" s="20">
        <f>AM120+AM121+AM123</f>
        <v>87801.843610000011</v>
      </c>
      <c r="AN119" s="20">
        <f t="shared" ref="AN119:AU119" si="94">AN120</f>
        <v>0</v>
      </c>
      <c r="AO119" s="20">
        <f t="shared" si="94"/>
        <v>0</v>
      </c>
      <c r="AP119" s="20">
        <f t="shared" si="94"/>
        <v>0</v>
      </c>
      <c r="AQ119" s="20">
        <f t="shared" si="94"/>
        <v>0</v>
      </c>
      <c r="AR119" s="20">
        <f t="shared" si="94"/>
        <v>0</v>
      </c>
      <c r="AS119" s="20">
        <f t="shared" si="94"/>
        <v>0</v>
      </c>
      <c r="AT119" s="20">
        <f t="shared" si="94"/>
        <v>0</v>
      </c>
      <c r="AU119" s="20">
        <f t="shared" si="94"/>
        <v>0</v>
      </c>
      <c r="AV119" s="20">
        <f>AV120</f>
        <v>0</v>
      </c>
      <c r="AW119" s="20">
        <f>AW120+AW121+AW123+AW122</f>
        <v>38040.957619999994</v>
      </c>
      <c r="AX119" s="20">
        <f t="shared" ref="AX119:BG119" si="95">AX120</f>
        <v>0</v>
      </c>
      <c r="AY119" s="20">
        <f>AY120</f>
        <v>0</v>
      </c>
      <c r="AZ119" s="20">
        <f>AZ120</f>
        <v>0</v>
      </c>
      <c r="BA119" s="20">
        <f t="shared" si="95"/>
        <v>0</v>
      </c>
      <c r="BB119" s="20">
        <f t="shared" si="95"/>
        <v>0</v>
      </c>
      <c r="BC119" s="20">
        <f t="shared" si="95"/>
        <v>0</v>
      </c>
      <c r="BD119" s="20">
        <f t="shared" si="95"/>
        <v>0</v>
      </c>
      <c r="BE119" s="20">
        <f>BE120</f>
        <v>0</v>
      </c>
      <c r="BF119" s="20">
        <f>BF120+BF121+BF123+BF122</f>
        <v>64250.592539999998</v>
      </c>
      <c r="BG119" s="20">
        <f t="shared" si="95"/>
        <v>0</v>
      </c>
      <c r="BH119" s="20">
        <f>BH120</f>
        <v>0</v>
      </c>
      <c r="BI119" s="20">
        <f>BI120</f>
        <v>0</v>
      </c>
      <c r="BJ119" s="21">
        <f>BJ120</f>
        <v>0</v>
      </c>
      <c r="BK119" s="22">
        <f>BK120</f>
        <v>0</v>
      </c>
      <c r="BL119" s="20">
        <f>BL120</f>
        <v>0</v>
      </c>
      <c r="BM119" s="20">
        <f t="shared" si="70"/>
        <v>0</v>
      </c>
      <c r="BN119" s="20" t="e">
        <f t="shared" si="71"/>
        <v>#DIV/0!</v>
      </c>
      <c r="BO119" s="20">
        <f t="shared" ref="BO119" si="96">BO120</f>
        <v>0</v>
      </c>
      <c r="BP119" s="20">
        <f>BP120</f>
        <v>0</v>
      </c>
      <c r="BQ119" s="20">
        <f>BQ120+BQ121+BQ123+BQ122</f>
        <v>14598.988679999999</v>
      </c>
      <c r="BR119" s="20" t="e">
        <f t="shared" si="90"/>
        <v>#DIV/0!</v>
      </c>
      <c r="BS119" s="20" t="e">
        <f t="shared" si="91"/>
        <v>#DIV/0!</v>
      </c>
      <c r="BT119" s="20" t="e">
        <f t="shared" si="92"/>
        <v>#DIV/0!</v>
      </c>
    </row>
    <row r="120" spans="1:72" ht="22.5" hidden="1" customHeight="1" x14ac:dyDescent="0.25">
      <c r="A120" s="10" t="s">
        <v>255</v>
      </c>
      <c r="B120" s="39" t="s">
        <v>256</v>
      </c>
      <c r="C120" s="25">
        <f>648-648</f>
        <v>0</v>
      </c>
      <c r="D120" s="25">
        <v>0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242.5</v>
      </c>
      <c r="L120" s="25">
        <v>242.53899999999999</v>
      </c>
      <c r="M120" s="25">
        <f>242.539+5707.92458</f>
        <v>5950.4635799999996</v>
      </c>
      <c r="N120" s="25">
        <v>0</v>
      </c>
      <c r="O120" s="25">
        <v>100</v>
      </c>
      <c r="P120" s="25">
        <v>100</v>
      </c>
      <c r="Q120" s="25">
        <v>16793.878639999999</v>
      </c>
      <c r="R120" s="25">
        <v>0</v>
      </c>
      <c r="S120" s="25">
        <v>50</v>
      </c>
      <c r="T120" s="25">
        <v>50</v>
      </c>
      <c r="U120" s="25">
        <f>1134.49161+50</f>
        <v>1184.49161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164562.53552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421</v>
      </c>
      <c r="AL120" s="25">
        <v>421</v>
      </c>
      <c r="AM120" s="25">
        <v>421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5"/>
      <c r="AT120" s="25"/>
      <c r="AU120" s="25">
        <v>0</v>
      </c>
      <c r="AV120" s="25">
        <v>0</v>
      </c>
      <c r="AW120" s="25">
        <v>0</v>
      </c>
      <c r="AX120" s="25">
        <v>0</v>
      </c>
      <c r="AY120" s="25">
        <v>0</v>
      </c>
      <c r="AZ120" s="25">
        <v>0</v>
      </c>
      <c r="BA120" s="25">
        <v>0</v>
      </c>
      <c r="BB120" s="25">
        <v>0</v>
      </c>
      <c r="BC120" s="25">
        <v>0</v>
      </c>
      <c r="BD120" s="25">
        <v>0</v>
      </c>
      <c r="BE120" s="25">
        <v>0</v>
      </c>
      <c r="BF120" s="25">
        <v>0</v>
      </c>
      <c r="BG120" s="25">
        <v>0</v>
      </c>
      <c r="BH120" s="25">
        <v>0</v>
      </c>
      <c r="BI120" s="25">
        <v>0</v>
      </c>
      <c r="BJ120" s="20"/>
      <c r="BK120" s="27"/>
      <c r="BL120" s="25"/>
      <c r="BM120" s="20">
        <f t="shared" si="70"/>
        <v>0</v>
      </c>
      <c r="BN120" s="20" t="e">
        <f t="shared" si="71"/>
        <v>#DIV/0!</v>
      </c>
      <c r="BO120" s="25">
        <v>0</v>
      </c>
      <c r="BP120" s="25">
        <v>0</v>
      </c>
      <c r="BQ120" s="25">
        <v>0</v>
      </c>
      <c r="BR120" s="25" t="e">
        <f t="shared" si="90"/>
        <v>#DIV/0!</v>
      </c>
      <c r="BS120" s="25" t="e">
        <f t="shared" si="91"/>
        <v>#DIV/0!</v>
      </c>
      <c r="BT120" s="25" t="e">
        <f t="shared" si="92"/>
        <v>#DIV/0!</v>
      </c>
    </row>
    <row r="121" spans="1:72" ht="22.5" hidden="1" customHeight="1" x14ac:dyDescent="0.25">
      <c r="A121" s="10" t="s">
        <v>257</v>
      </c>
      <c r="B121" s="39" t="s">
        <v>258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>
        <v>101664.91533</v>
      </c>
      <c r="N121" s="25"/>
      <c r="O121" s="25"/>
      <c r="P121" s="25"/>
      <c r="Q121" s="25">
        <f>136878.53135-1507.76166+0.03/1000</f>
        <v>135370.76972000001</v>
      </c>
      <c r="R121" s="25"/>
      <c r="S121" s="25"/>
      <c r="T121" s="25"/>
      <c r="U121" s="25"/>
      <c r="V121" s="25"/>
      <c r="W121" s="25"/>
      <c r="X121" s="25"/>
      <c r="Y121" s="25">
        <v>139466.17444</v>
      </c>
      <c r="Z121" s="25"/>
      <c r="AA121" s="25"/>
      <c r="AB121" s="25"/>
      <c r="AC121" s="25">
        <v>8468.9200099999998</v>
      </c>
      <c r="AD121" s="25"/>
      <c r="AE121" s="25"/>
      <c r="AF121" s="25"/>
      <c r="AG121" s="25">
        <v>59608.670980000003</v>
      </c>
      <c r="AH121" s="25"/>
      <c r="AI121" s="25"/>
      <c r="AJ121" s="25"/>
      <c r="AK121" s="25"/>
      <c r="AL121" s="25"/>
      <c r="AM121" s="25">
        <v>46822.54219</v>
      </c>
      <c r="AN121" s="25"/>
      <c r="AO121" s="25"/>
      <c r="AP121" s="25"/>
      <c r="AQ121" s="25"/>
      <c r="AR121" s="25"/>
      <c r="AS121" s="25"/>
      <c r="AT121" s="25"/>
      <c r="AU121" s="25"/>
      <c r="AV121" s="25"/>
      <c r="AW121" s="25">
        <v>38019.117619999997</v>
      </c>
      <c r="AX121" s="25"/>
      <c r="AY121" s="25"/>
      <c r="AZ121" s="25"/>
      <c r="BA121" s="25"/>
      <c r="BB121" s="25"/>
      <c r="BC121" s="25"/>
      <c r="BD121" s="25"/>
      <c r="BE121" s="25"/>
      <c r="BF121" s="25">
        <v>26522.91676</v>
      </c>
      <c r="BG121" s="25"/>
      <c r="BH121" s="25"/>
      <c r="BI121" s="25"/>
      <c r="BJ121" s="20"/>
      <c r="BK121" s="27"/>
      <c r="BL121" s="25"/>
      <c r="BM121" s="20">
        <f t="shared" si="70"/>
        <v>0</v>
      </c>
      <c r="BN121" s="20" t="e">
        <f t="shared" si="71"/>
        <v>#DIV/0!</v>
      </c>
      <c r="BO121" s="25"/>
      <c r="BP121" s="25"/>
      <c r="BQ121" s="25">
        <f>14968.69463+73.19832-731.55678-73.19832</f>
        <v>14237.137849999999</v>
      </c>
      <c r="BR121" s="25" t="e">
        <f t="shared" si="90"/>
        <v>#DIV/0!</v>
      </c>
      <c r="BS121" s="25" t="e">
        <f t="shared" si="91"/>
        <v>#DIV/0!</v>
      </c>
      <c r="BT121" s="25" t="e">
        <f t="shared" si="92"/>
        <v>#DIV/0!</v>
      </c>
    </row>
    <row r="122" spans="1:72" ht="22.5" hidden="1" customHeight="1" x14ac:dyDescent="0.25">
      <c r="A122" s="10" t="s">
        <v>259</v>
      </c>
      <c r="B122" s="39" t="s">
        <v>260</v>
      </c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>
        <v>21.227</v>
      </c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>
        <v>21.84</v>
      </c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0"/>
      <c r="BK122" s="27"/>
      <c r="BL122" s="25"/>
      <c r="BM122" s="20">
        <f t="shared" si="70"/>
        <v>0</v>
      </c>
      <c r="BN122" s="20" t="e">
        <f t="shared" si="71"/>
        <v>#DIV/0!</v>
      </c>
      <c r="BO122" s="25"/>
      <c r="BP122" s="25"/>
      <c r="BQ122" s="25">
        <v>48.750900000000001</v>
      </c>
      <c r="BR122" s="25" t="e">
        <f t="shared" si="90"/>
        <v>#DIV/0!</v>
      </c>
      <c r="BS122" s="25" t="e">
        <f t="shared" si="91"/>
        <v>#DIV/0!</v>
      </c>
      <c r="BT122" s="25" t="e">
        <f t="shared" si="92"/>
        <v>#DIV/0!</v>
      </c>
    </row>
    <row r="123" spans="1:72" ht="33.75" hidden="1" customHeight="1" x14ac:dyDescent="0.25">
      <c r="A123" s="10" t="s">
        <v>261</v>
      </c>
      <c r="B123" s="39" t="s">
        <v>262</v>
      </c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>
        <v>40558.301420000003</v>
      </c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>
        <v>37727.675779999998</v>
      </c>
      <c r="BG123" s="25"/>
      <c r="BH123" s="25"/>
      <c r="BI123" s="25"/>
      <c r="BJ123" s="20"/>
      <c r="BK123" s="27"/>
      <c r="BL123" s="25"/>
      <c r="BM123" s="20">
        <f t="shared" si="70"/>
        <v>0</v>
      </c>
      <c r="BN123" s="20" t="e">
        <f t="shared" si="71"/>
        <v>#DIV/0!</v>
      </c>
      <c r="BO123" s="25"/>
      <c r="BP123" s="25"/>
      <c r="BQ123" s="25">
        <v>313.09992999999997</v>
      </c>
      <c r="BR123" s="25" t="e">
        <f t="shared" si="90"/>
        <v>#DIV/0!</v>
      </c>
      <c r="BS123" s="25" t="e">
        <f t="shared" si="91"/>
        <v>#DIV/0!</v>
      </c>
      <c r="BT123" s="25" t="e">
        <f t="shared" si="92"/>
        <v>#DIV/0!</v>
      </c>
    </row>
    <row r="124" spans="1:72" ht="22.5" hidden="1" customHeight="1" x14ac:dyDescent="0.25">
      <c r="A124" s="10" t="s">
        <v>263</v>
      </c>
      <c r="B124" s="39" t="s">
        <v>264</v>
      </c>
      <c r="C124" s="25">
        <v>0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v>0</v>
      </c>
      <c r="AJ124" s="25">
        <v>0</v>
      </c>
      <c r="AK124" s="25">
        <v>0</v>
      </c>
      <c r="AL124" s="25">
        <v>0</v>
      </c>
      <c r="AM124" s="25">
        <v>0</v>
      </c>
      <c r="AN124" s="25">
        <v>0</v>
      </c>
      <c r="AO124" s="25">
        <v>0</v>
      </c>
      <c r="AP124" s="25">
        <v>0</v>
      </c>
      <c r="AQ124" s="25">
        <v>-470.7</v>
      </c>
      <c r="AR124" s="25">
        <v>-470.7</v>
      </c>
      <c r="AS124" s="25">
        <v>-470.7</v>
      </c>
      <c r="AT124" s="25">
        <v>-470.7</v>
      </c>
      <c r="AU124" s="25">
        <v>-470.7</v>
      </c>
      <c r="AV124" s="25">
        <v>-470.71987999999999</v>
      </c>
      <c r="AW124" s="25">
        <v>-470.71987999999999</v>
      </c>
      <c r="AX124" s="25">
        <v>0</v>
      </c>
      <c r="AY124" s="25">
        <v>0</v>
      </c>
      <c r="AZ124" s="25">
        <v>0</v>
      </c>
      <c r="BA124" s="25">
        <v>0</v>
      </c>
      <c r="BB124" s="25">
        <v>0</v>
      </c>
      <c r="BC124" s="25">
        <v>0</v>
      </c>
      <c r="BD124" s="25">
        <v>0</v>
      </c>
      <c r="BE124" s="25">
        <v>0</v>
      </c>
      <c r="BF124" s="25"/>
      <c r="BG124" s="25">
        <v>0</v>
      </c>
      <c r="BH124" s="25">
        <v>0</v>
      </c>
      <c r="BI124" s="25">
        <v>0</v>
      </c>
      <c r="BJ124" s="20"/>
      <c r="BK124" s="27"/>
      <c r="BL124" s="25"/>
      <c r="BM124" s="20">
        <f t="shared" si="70"/>
        <v>0</v>
      </c>
      <c r="BN124" s="20" t="e">
        <f t="shared" si="71"/>
        <v>#DIV/0!</v>
      </c>
      <c r="BO124" s="25">
        <v>0</v>
      </c>
      <c r="BP124" s="25">
        <v>0</v>
      </c>
      <c r="BQ124" s="25"/>
      <c r="BR124" s="25" t="e">
        <f t="shared" si="90"/>
        <v>#DIV/0!</v>
      </c>
      <c r="BS124" s="25" t="e">
        <f t="shared" si="91"/>
        <v>#DIV/0!</v>
      </c>
      <c r="BT124" s="25" t="e">
        <f t="shared" si="92"/>
        <v>#DIV/0!</v>
      </c>
    </row>
    <row r="125" spans="1:72" ht="22.5" customHeight="1" x14ac:dyDescent="0.25">
      <c r="A125" s="45" t="s">
        <v>265</v>
      </c>
      <c r="B125" s="46"/>
      <c r="C125" s="20">
        <f t="shared" ref="C125:BP125" si="97">+C67+C6</f>
        <v>47558.023929999996</v>
      </c>
      <c r="D125" s="20">
        <f t="shared" si="97"/>
        <v>39079.600000000006</v>
      </c>
      <c r="E125" s="20">
        <f t="shared" si="97"/>
        <v>65432.3</v>
      </c>
      <c r="F125" s="20">
        <f t="shared" si="97"/>
        <v>61313.054100000001</v>
      </c>
      <c r="G125" s="20">
        <f t="shared" si="97"/>
        <v>43106.9</v>
      </c>
      <c r="H125" s="20">
        <f t="shared" si="97"/>
        <v>53136.200000000004</v>
      </c>
      <c r="I125" s="20">
        <f t="shared" si="97"/>
        <v>52322.151769999997</v>
      </c>
      <c r="J125" s="20">
        <f t="shared" si="97"/>
        <v>43424.4</v>
      </c>
      <c r="K125" s="20">
        <f t="shared" si="97"/>
        <v>50857</v>
      </c>
      <c r="L125" s="20">
        <f t="shared" si="97"/>
        <v>50257.007689999999</v>
      </c>
      <c r="M125" s="20">
        <f t="shared" si="97"/>
        <v>156364.17963000003</v>
      </c>
      <c r="N125" s="20">
        <f t="shared" si="97"/>
        <v>44290.3</v>
      </c>
      <c r="O125" s="20">
        <f t="shared" si="97"/>
        <v>56810.9</v>
      </c>
      <c r="P125" s="20">
        <f t="shared" si="97"/>
        <v>55330.346720000001</v>
      </c>
      <c r="Q125" s="20">
        <f t="shared" si="97"/>
        <v>163494.12627000001</v>
      </c>
      <c r="R125" s="20">
        <f t="shared" si="97"/>
        <v>54924.4</v>
      </c>
      <c r="S125" s="20">
        <f t="shared" si="97"/>
        <v>59194</v>
      </c>
      <c r="T125" s="20">
        <f t="shared" si="97"/>
        <v>59255.160210000002</v>
      </c>
      <c r="U125" s="20">
        <f t="shared" si="97"/>
        <v>125251.30763</v>
      </c>
      <c r="V125" s="20">
        <f t="shared" si="97"/>
        <v>48401.302009999999</v>
      </c>
      <c r="W125" s="20">
        <f t="shared" si="97"/>
        <v>75778.100000000006</v>
      </c>
      <c r="X125" s="20">
        <f t="shared" si="97"/>
        <v>75853.324210000006</v>
      </c>
      <c r="Y125" s="20">
        <f t="shared" si="97"/>
        <v>215280.99731000001</v>
      </c>
      <c r="Z125" s="20">
        <f t="shared" si="97"/>
        <v>47377.702010000001</v>
      </c>
      <c r="AA125" s="20">
        <f t="shared" si="97"/>
        <v>58040.439999999995</v>
      </c>
      <c r="AB125" s="20">
        <f t="shared" si="97"/>
        <v>59416.625889999996</v>
      </c>
      <c r="AC125" s="20">
        <f t="shared" si="97"/>
        <v>234647.80937999999</v>
      </c>
      <c r="AD125" s="20">
        <f t="shared" si="97"/>
        <v>49649.102010000002</v>
      </c>
      <c r="AE125" s="20">
        <f t="shared" si="97"/>
        <v>61107.199999999997</v>
      </c>
      <c r="AF125" s="20">
        <f t="shared" si="97"/>
        <v>61617.876949999991</v>
      </c>
      <c r="AG125" s="20">
        <f t="shared" si="97"/>
        <v>89249.060919999989</v>
      </c>
      <c r="AH125" s="20">
        <f t="shared" si="97"/>
        <v>54211.402010000005</v>
      </c>
      <c r="AI125" s="20">
        <f t="shared" si="97"/>
        <v>53303.802009999999</v>
      </c>
      <c r="AJ125" s="20">
        <f t="shared" si="97"/>
        <v>53316.902009999998</v>
      </c>
      <c r="AK125" s="20">
        <f t="shared" si="97"/>
        <v>100905.9</v>
      </c>
      <c r="AL125" s="20">
        <f t="shared" si="97"/>
        <v>100981.48639000001</v>
      </c>
      <c r="AM125" s="20">
        <f t="shared" si="97"/>
        <v>267888.34791999997</v>
      </c>
      <c r="AN125" s="20">
        <f t="shared" si="97"/>
        <v>51967.002010000004</v>
      </c>
      <c r="AO125" s="20">
        <f t="shared" si="97"/>
        <v>51973.002010000004</v>
      </c>
      <c r="AP125" s="20">
        <f t="shared" si="97"/>
        <v>51979.002010000004</v>
      </c>
      <c r="AQ125" s="20">
        <f t="shared" si="97"/>
        <v>66743.399999999994</v>
      </c>
      <c r="AR125" s="20">
        <f t="shared" si="97"/>
        <v>71002.8</v>
      </c>
      <c r="AS125" s="20">
        <f t="shared" si="97"/>
        <v>65726.100000000006</v>
      </c>
      <c r="AT125" s="20">
        <f t="shared" si="97"/>
        <v>69012.400000000009</v>
      </c>
      <c r="AU125" s="20">
        <f t="shared" si="97"/>
        <v>76253.700000000012</v>
      </c>
      <c r="AV125" s="20">
        <f t="shared" si="97"/>
        <v>77475.654390000011</v>
      </c>
      <c r="AW125" s="20">
        <f t="shared" si="97"/>
        <v>107298.8652</v>
      </c>
      <c r="AX125" s="20">
        <f t="shared" si="97"/>
        <v>66286.602010000002</v>
      </c>
      <c r="AY125" s="20">
        <f t="shared" si="97"/>
        <v>50940.402010000005</v>
      </c>
      <c r="AZ125" s="20">
        <f t="shared" si="97"/>
        <v>50956.702010000001</v>
      </c>
      <c r="BA125" s="20">
        <f t="shared" si="97"/>
        <v>71202.600000000006</v>
      </c>
      <c r="BB125" s="20">
        <f t="shared" si="97"/>
        <v>77780.5</v>
      </c>
      <c r="BC125" s="20">
        <f t="shared" si="97"/>
        <v>67213.100000000006</v>
      </c>
      <c r="BD125" s="20">
        <f t="shared" si="97"/>
        <v>92731.8</v>
      </c>
      <c r="BE125" s="20">
        <f t="shared" si="97"/>
        <v>93753.443560000014</v>
      </c>
      <c r="BF125" s="20">
        <f t="shared" si="97"/>
        <v>132028.51546000002</v>
      </c>
      <c r="BG125" s="20">
        <f t="shared" si="97"/>
        <v>65068.802009999999</v>
      </c>
      <c r="BH125" s="20">
        <f t="shared" si="97"/>
        <v>57541.602010000002</v>
      </c>
      <c r="BI125" s="20">
        <f t="shared" si="97"/>
        <v>57565.702010000001</v>
      </c>
      <c r="BJ125" s="20">
        <f t="shared" si="97"/>
        <v>67361.400000000009</v>
      </c>
      <c r="BK125" s="20">
        <f t="shared" si="97"/>
        <v>87520</v>
      </c>
      <c r="BL125" s="20">
        <f t="shared" si="97"/>
        <v>103741.1</v>
      </c>
      <c r="BM125" s="20">
        <f t="shared" si="70"/>
        <v>38672.297990000006</v>
      </c>
      <c r="BN125" s="20">
        <f t="shared" si="71"/>
        <v>159.43293374919782</v>
      </c>
      <c r="BO125" s="20">
        <f t="shared" si="97"/>
        <v>102296.70201000001</v>
      </c>
      <c r="BP125" s="20">
        <f t="shared" si="97"/>
        <v>106340.91590999998</v>
      </c>
      <c r="BQ125" s="20">
        <f t="shared" ref="BQ125" si="98">+BQ67+BQ6</f>
        <v>102285.42926999999</v>
      </c>
      <c r="BR125" s="20">
        <f t="shared" si="90"/>
        <v>163.42842134031781</v>
      </c>
      <c r="BS125" s="20">
        <f t="shared" si="91"/>
        <v>102.50606163805858</v>
      </c>
      <c r="BT125" s="20">
        <f t="shared" si="92"/>
        <v>113.42614401352019</v>
      </c>
    </row>
  </sheetData>
  <mergeCells count="17">
    <mergeCell ref="BJ4:BJ5"/>
    <mergeCell ref="BQ4:BQ5"/>
    <mergeCell ref="BR4:BR5"/>
    <mergeCell ref="BS4:BS5"/>
    <mergeCell ref="BT4:BT5"/>
    <mergeCell ref="A125:B125"/>
    <mergeCell ref="BK4:BK5"/>
    <mergeCell ref="BL4:BL5"/>
    <mergeCell ref="BM4:BM5"/>
    <mergeCell ref="BN4:BN5"/>
    <mergeCell ref="BO4:BO5"/>
    <mergeCell ref="BP4:BP5"/>
    <mergeCell ref="AL4:AL5"/>
    <mergeCell ref="AV4:AV5"/>
    <mergeCell ref="AX4:AZ4"/>
    <mergeCell ref="BE4:BE5"/>
    <mergeCell ref="BF4:BF5"/>
  </mergeCells>
  <pageMargins left="0" right="0" top="0" bottom="0" header="0" footer="0"/>
  <pageSetup paperSize="9" scale="8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1"/>
  <sheetViews>
    <sheetView topLeftCell="A2" zoomScale="140" zoomScaleNormal="140" workbookViewId="0">
      <pane xSplit="3" ySplit="3" topLeftCell="AG42" activePane="bottomRight" state="frozen"/>
      <selection activeCell="A2" sqref="A2"/>
      <selection pane="topRight" activeCell="D2" sqref="D2"/>
      <selection pane="bottomLeft" activeCell="A5" sqref="A5"/>
      <selection pane="bottomRight" activeCell="A2" sqref="A2:AT47"/>
    </sheetView>
  </sheetViews>
  <sheetFormatPr defaultRowHeight="11.25" x14ac:dyDescent="0.2"/>
  <cols>
    <col min="1" max="1" width="20.28515625" style="52" customWidth="1"/>
    <col min="2" max="2" width="3.85546875" style="52" customWidth="1"/>
    <col min="3" max="3" width="3" style="56" customWidth="1"/>
    <col min="4" max="4" width="8.140625" style="56" hidden="1" customWidth="1"/>
    <col min="5" max="5" width="7.5703125" style="56" hidden="1" customWidth="1"/>
    <col min="6" max="6" width="7.85546875" style="52" hidden="1" customWidth="1"/>
    <col min="7" max="7" width="7.5703125" style="53" hidden="1" customWidth="1"/>
    <col min="8" max="8" width="9.28515625" style="52" hidden="1" customWidth="1"/>
    <col min="9" max="9" width="8.85546875" style="52" hidden="1" customWidth="1"/>
    <col min="10" max="10" width="8.42578125" style="54" hidden="1" customWidth="1"/>
    <col min="11" max="11" width="8.28515625" style="55" hidden="1" customWidth="1"/>
    <col min="12" max="12" width="8.140625" style="56" hidden="1" customWidth="1"/>
    <col min="13" max="13" width="8.42578125" style="53" hidden="1" customWidth="1"/>
    <col min="14" max="14" width="7.5703125" style="52" hidden="1" customWidth="1"/>
    <col min="15" max="15" width="10.42578125" style="52" hidden="1" customWidth="1"/>
    <col min="16" max="18" width="7.7109375" style="52" hidden="1" customWidth="1"/>
    <col min="19" max="19" width="6.28515625" style="52" hidden="1" customWidth="1"/>
    <col min="20" max="20" width="6.85546875" style="52" hidden="1" customWidth="1"/>
    <col min="21" max="21" width="6.5703125" style="52" customWidth="1"/>
    <col min="22" max="22" width="7" style="52" customWidth="1"/>
    <col min="23" max="23" width="7.7109375" style="52" hidden="1" customWidth="1"/>
    <col min="24" max="24" width="7" style="52" hidden="1" customWidth="1"/>
    <col min="25" max="25" width="7.7109375" style="52" hidden="1" customWidth="1"/>
    <col min="26" max="26" width="8" style="52" hidden="1" customWidth="1"/>
    <col min="27" max="27" width="7.28515625" style="52" hidden="1" customWidth="1"/>
    <col min="28" max="28" width="7.42578125" style="52" hidden="1" customWidth="1"/>
    <col min="29" max="43" width="7.42578125" style="52" customWidth="1"/>
    <col min="44" max="44" width="6.85546875" style="52" hidden="1" customWidth="1"/>
    <col min="45" max="45" width="7" style="52" hidden="1" customWidth="1"/>
    <col min="46" max="46" width="8" style="52" hidden="1" customWidth="1"/>
    <col min="47" max="90" width="9.140625" style="52"/>
    <col min="91" max="91" width="18.5703125" style="52" customWidth="1"/>
    <col min="92" max="92" width="3.5703125" style="52" customWidth="1"/>
    <col min="93" max="93" width="3" style="52" customWidth="1"/>
    <col min="94" max="94" width="8.140625" style="52" customWidth="1"/>
    <col min="95" max="100" width="0" style="52" hidden="1" customWidth="1"/>
    <col min="101" max="101" width="7.5703125" style="52" customWidth="1"/>
    <col min="102" max="122" width="0" style="52" hidden="1" customWidth="1"/>
    <col min="123" max="123" width="7.85546875" style="52" customWidth="1"/>
    <col min="124" max="140" width="0" style="52" hidden="1" customWidth="1"/>
    <col min="141" max="141" width="7.5703125" style="52" customWidth="1"/>
    <col min="142" max="161" width="0" style="52" hidden="1" customWidth="1"/>
    <col min="162" max="162" width="7.5703125" style="52" customWidth="1"/>
    <col min="163" max="181" width="0" style="52" hidden="1" customWidth="1"/>
    <col min="182" max="182" width="8.28515625" style="52" customWidth="1"/>
    <col min="183" max="193" width="0" style="52" hidden="1" customWidth="1"/>
    <col min="194" max="196" width="8.140625" style="52" customWidth="1"/>
    <col min="197" max="197" width="7.42578125" style="52" customWidth="1"/>
    <col min="198" max="198" width="5.7109375" style="52" customWidth="1"/>
    <col min="199" max="199" width="6.42578125" style="52" customWidth="1"/>
    <col min="200" max="200" width="5.7109375" style="52" customWidth="1"/>
    <col min="201" max="201" width="5.42578125" style="52" customWidth="1"/>
    <col min="202" max="202" width="5.28515625" style="52" customWidth="1"/>
    <col min="203" max="203" width="5.42578125" style="52" customWidth="1"/>
    <col min="204" max="204" width="5.28515625" style="52" customWidth="1"/>
    <col min="205" max="205" width="5.85546875" style="52" customWidth="1"/>
    <col min="206" max="206" width="6.140625" style="52" customWidth="1"/>
    <col min="207" max="346" width="9.140625" style="52"/>
    <col min="347" max="347" width="18.5703125" style="52" customWidth="1"/>
    <col min="348" max="348" width="3.5703125" style="52" customWidth="1"/>
    <col min="349" max="349" width="3" style="52" customWidth="1"/>
    <col min="350" max="350" width="8.140625" style="52" customWidth="1"/>
    <col min="351" max="356" width="0" style="52" hidden="1" customWidth="1"/>
    <col min="357" max="357" width="7.5703125" style="52" customWidth="1"/>
    <col min="358" max="378" width="0" style="52" hidden="1" customWidth="1"/>
    <col min="379" max="379" width="7.85546875" style="52" customWidth="1"/>
    <col min="380" max="396" width="0" style="52" hidden="1" customWidth="1"/>
    <col min="397" max="397" width="7.5703125" style="52" customWidth="1"/>
    <col min="398" max="417" width="0" style="52" hidden="1" customWidth="1"/>
    <col min="418" max="418" width="7.5703125" style="52" customWidth="1"/>
    <col min="419" max="437" width="0" style="52" hidden="1" customWidth="1"/>
    <col min="438" max="438" width="8.28515625" style="52" customWidth="1"/>
    <col min="439" max="449" width="0" style="52" hidden="1" customWidth="1"/>
    <col min="450" max="452" width="8.140625" style="52" customWidth="1"/>
    <col min="453" max="453" width="7.42578125" style="52" customWidth="1"/>
    <col min="454" max="454" width="5.7109375" style="52" customWidth="1"/>
    <col min="455" max="455" width="6.42578125" style="52" customWidth="1"/>
    <col min="456" max="456" width="5.7109375" style="52" customWidth="1"/>
    <col min="457" max="457" width="5.42578125" style="52" customWidth="1"/>
    <col min="458" max="458" width="5.28515625" style="52" customWidth="1"/>
    <col min="459" max="459" width="5.42578125" style="52" customWidth="1"/>
    <col min="460" max="460" width="5.28515625" style="52" customWidth="1"/>
    <col min="461" max="461" width="5.85546875" style="52" customWidth="1"/>
    <col min="462" max="462" width="6.140625" style="52" customWidth="1"/>
    <col min="463" max="602" width="9.140625" style="52"/>
    <col min="603" max="603" width="18.5703125" style="52" customWidth="1"/>
    <col min="604" max="604" width="3.5703125" style="52" customWidth="1"/>
    <col min="605" max="605" width="3" style="52" customWidth="1"/>
    <col min="606" max="606" width="8.140625" style="52" customWidth="1"/>
    <col min="607" max="612" width="0" style="52" hidden="1" customWidth="1"/>
    <col min="613" max="613" width="7.5703125" style="52" customWidth="1"/>
    <col min="614" max="634" width="0" style="52" hidden="1" customWidth="1"/>
    <col min="635" max="635" width="7.85546875" style="52" customWidth="1"/>
    <col min="636" max="652" width="0" style="52" hidden="1" customWidth="1"/>
    <col min="653" max="653" width="7.5703125" style="52" customWidth="1"/>
    <col min="654" max="673" width="0" style="52" hidden="1" customWidth="1"/>
    <col min="674" max="674" width="7.5703125" style="52" customWidth="1"/>
    <col min="675" max="693" width="0" style="52" hidden="1" customWidth="1"/>
    <col min="694" max="694" width="8.28515625" style="52" customWidth="1"/>
    <col min="695" max="705" width="0" style="52" hidden="1" customWidth="1"/>
    <col min="706" max="708" width="8.140625" style="52" customWidth="1"/>
    <col min="709" max="709" width="7.42578125" style="52" customWidth="1"/>
    <col min="710" max="710" width="5.7109375" style="52" customWidth="1"/>
    <col min="711" max="711" width="6.42578125" style="52" customWidth="1"/>
    <col min="712" max="712" width="5.7109375" style="52" customWidth="1"/>
    <col min="713" max="713" width="5.42578125" style="52" customWidth="1"/>
    <col min="714" max="714" width="5.28515625" style="52" customWidth="1"/>
    <col min="715" max="715" width="5.42578125" style="52" customWidth="1"/>
    <col min="716" max="716" width="5.28515625" style="52" customWidth="1"/>
    <col min="717" max="717" width="5.85546875" style="52" customWidth="1"/>
    <col min="718" max="718" width="6.140625" style="52" customWidth="1"/>
    <col min="719" max="858" width="9.140625" style="52"/>
    <col min="859" max="859" width="18.5703125" style="52" customWidth="1"/>
    <col min="860" max="860" width="3.5703125" style="52" customWidth="1"/>
    <col min="861" max="861" width="3" style="52" customWidth="1"/>
    <col min="862" max="862" width="8.140625" style="52" customWidth="1"/>
    <col min="863" max="868" width="0" style="52" hidden="1" customWidth="1"/>
    <col min="869" max="869" width="7.5703125" style="52" customWidth="1"/>
    <col min="870" max="890" width="0" style="52" hidden="1" customWidth="1"/>
    <col min="891" max="891" width="7.85546875" style="52" customWidth="1"/>
    <col min="892" max="908" width="0" style="52" hidden="1" customWidth="1"/>
    <col min="909" max="909" width="7.5703125" style="52" customWidth="1"/>
    <col min="910" max="929" width="0" style="52" hidden="1" customWidth="1"/>
    <col min="930" max="930" width="7.5703125" style="52" customWidth="1"/>
    <col min="931" max="949" width="0" style="52" hidden="1" customWidth="1"/>
    <col min="950" max="950" width="8.28515625" style="52" customWidth="1"/>
    <col min="951" max="961" width="0" style="52" hidden="1" customWidth="1"/>
    <col min="962" max="964" width="8.140625" style="52" customWidth="1"/>
    <col min="965" max="965" width="7.42578125" style="52" customWidth="1"/>
    <col min="966" max="966" width="5.7109375" style="52" customWidth="1"/>
    <col min="967" max="967" width="6.42578125" style="52" customWidth="1"/>
    <col min="968" max="968" width="5.7109375" style="52" customWidth="1"/>
    <col min="969" max="969" width="5.42578125" style="52" customWidth="1"/>
    <col min="970" max="970" width="5.28515625" style="52" customWidth="1"/>
    <col min="971" max="971" width="5.42578125" style="52" customWidth="1"/>
    <col min="972" max="972" width="5.28515625" style="52" customWidth="1"/>
    <col min="973" max="973" width="5.85546875" style="52" customWidth="1"/>
    <col min="974" max="974" width="6.140625" style="52" customWidth="1"/>
    <col min="975" max="1114" width="9.140625" style="52"/>
    <col min="1115" max="1115" width="18.5703125" style="52" customWidth="1"/>
    <col min="1116" max="1116" width="3.5703125" style="52" customWidth="1"/>
    <col min="1117" max="1117" width="3" style="52" customWidth="1"/>
    <col min="1118" max="1118" width="8.140625" style="52" customWidth="1"/>
    <col min="1119" max="1124" width="0" style="52" hidden="1" customWidth="1"/>
    <col min="1125" max="1125" width="7.5703125" style="52" customWidth="1"/>
    <col min="1126" max="1146" width="0" style="52" hidden="1" customWidth="1"/>
    <col min="1147" max="1147" width="7.85546875" style="52" customWidth="1"/>
    <col min="1148" max="1164" width="0" style="52" hidden="1" customWidth="1"/>
    <col min="1165" max="1165" width="7.5703125" style="52" customWidth="1"/>
    <col min="1166" max="1185" width="0" style="52" hidden="1" customWidth="1"/>
    <col min="1186" max="1186" width="7.5703125" style="52" customWidth="1"/>
    <col min="1187" max="1205" width="0" style="52" hidden="1" customWidth="1"/>
    <col min="1206" max="1206" width="8.28515625" style="52" customWidth="1"/>
    <col min="1207" max="1217" width="0" style="52" hidden="1" customWidth="1"/>
    <col min="1218" max="1220" width="8.140625" style="52" customWidth="1"/>
    <col min="1221" max="1221" width="7.42578125" style="52" customWidth="1"/>
    <col min="1222" max="1222" width="5.7109375" style="52" customWidth="1"/>
    <col min="1223" max="1223" width="6.42578125" style="52" customWidth="1"/>
    <col min="1224" max="1224" width="5.7109375" style="52" customWidth="1"/>
    <col min="1225" max="1225" width="5.42578125" style="52" customWidth="1"/>
    <col min="1226" max="1226" width="5.28515625" style="52" customWidth="1"/>
    <col min="1227" max="1227" width="5.42578125" style="52" customWidth="1"/>
    <col min="1228" max="1228" width="5.28515625" style="52" customWidth="1"/>
    <col min="1229" max="1229" width="5.85546875" style="52" customWidth="1"/>
    <col min="1230" max="1230" width="6.140625" style="52" customWidth="1"/>
    <col min="1231" max="1370" width="9.140625" style="52"/>
    <col min="1371" max="1371" width="18.5703125" style="52" customWidth="1"/>
    <col min="1372" max="1372" width="3.5703125" style="52" customWidth="1"/>
    <col min="1373" max="1373" width="3" style="52" customWidth="1"/>
    <col min="1374" max="1374" width="8.140625" style="52" customWidth="1"/>
    <col min="1375" max="1380" width="0" style="52" hidden="1" customWidth="1"/>
    <col min="1381" max="1381" width="7.5703125" style="52" customWidth="1"/>
    <col min="1382" max="1402" width="0" style="52" hidden="1" customWidth="1"/>
    <col min="1403" max="1403" width="7.85546875" style="52" customWidth="1"/>
    <col min="1404" max="1420" width="0" style="52" hidden="1" customWidth="1"/>
    <col min="1421" max="1421" width="7.5703125" style="52" customWidth="1"/>
    <col min="1422" max="1441" width="0" style="52" hidden="1" customWidth="1"/>
    <col min="1442" max="1442" width="7.5703125" style="52" customWidth="1"/>
    <col min="1443" max="1461" width="0" style="52" hidden="1" customWidth="1"/>
    <col min="1462" max="1462" width="8.28515625" style="52" customWidth="1"/>
    <col min="1463" max="1473" width="0" style="52" hidden="1" customWidth="1"/>
    <col min="1474" max="1476" width="8.140625" style="52" customWidth="1"/>
    <col min="1477" max="1477" width="7.42578125" style="52" customWidth="1"/>
    <col min="1478" max="1478" width="5.7109375" style="52" customWidth="1"/>
    <col min="1479" max="1479" width="6.42578125" style="52" customWidth="1"/>
    <col min="1480" max="1480" width="5.7109375" style="52" customWidth="1"/>
    <col min="1481" max="1481" width="5.42578125" style="52" customWidth="1"/>
    <col min="1482" max="1482" width="5.28515625" style="52" customWidth="1"/>
    <col min="1483" max="1483" width="5.42578125" style="52" customWidth="1"/>
    <col min="1484" max="1484" width="5.28515625" style="52" customWidth="1"/>
    <col min="1485" max="1485" width="5.85546875" style="52" customWidth="1"/>
    <col min="1486" max="1486" width="6.140625" style="52" customWidth="1"/>
    <col min="1487" max="1626" width="9.140625" style="52"/>
    <col min="1627" max="1627" width="18.5703125" style="52" customWidth="1"/>
    <col min="1628" max="1628" width="3.5703125" style="52" customWidth="1"/>
    <col min="1629" max="1629" width="3" style="52" customWidth="1"/>
    <col min="1630" max="1630" width="8.140625" style="52" customWidth="1"/>
    <col min="1631" max="1636" width="0" style="52" hidden="1" customWidth="1"/>
    <col min="1637" max="1637" width="7.5703125" style="52" customWidth="1"/>
    <col min="1638" max="1658" width="0" style="52" hidden="1" customWidth="1"/>
    <col min="1659" max="1659" width="7.85546875" style="52" customWidth="1"/>
    <col min="1660" max="1676" width="0" style="52" hidden="1" customWidth="1"/>
    <col min="1677" max="1677" width="7.5703125" style="52" customWidth="1"/>
    <col min="1678" max="1697" width="0" style="52" hidden="1" customWidth="1"/>
    <col min="1698" max="1698" width="7.5703125" style="52" customWidth="1"/>
    <col min="1699" max="1717" width="0" style="52" hidden="1" customWidth="1"/>
    <col min="1718" max="1718" width="8.28515625" style="52" customWidth="1"/>
    <col min="1719" max="1729" width="0" style="52" hidden="1" customWidth="1"/>
    <col min="1730" max="1732" width="8.140625" style="52" customWidth="1"/>
    <col min="1733" max="1733" width="7.42578125" style="52" customWidth="1"/>
    <col min="1734" max="1734" width="5.7109375" style="52" customWidth="1"/>
    <col min="1735" max="1735" width="6.42578125" style="52" customWidth="1"/>
    <col min="1736" max="1736" width="5.7109375" style="52" customWidth="1"/>
    <col min="1737" max="1737" width="5.42578125" style="52" customWidth="1"/>
    <col min="1738" max="1738" width="5.28515625" style="52" customWidth="1"/>
    <col min="1739" max="1739" width="5.42578125" style="52" customWidth="1"/>
    <col min="1740" max="1740" width="5.28515625" style="52" customWidth="1"/>
    <col min="1741" max="1741" width="5.85546875" style="52" customWidth="1"/>
    <col min="1742" max="1742" width="6.140625" style="52" customWidth="1"/>
    <col min="1743" max="1882" width="9.140625" style="52"/>
    <col min="1883" max="1883" width="18.5703125" style="52" customWidth="1"/>
    <col min="1884" max="1884" width="3.5703125" style="52" customWidth="1"/>
    <col min="1885" max="1885" width="3" style="52" customWidth="1"/>
    <col min="1886" max="1886" width="8.140625" style="52" customWidth="1"/>
    <col min="1887" max="1892" width="0" style="52" hidden="1" customWidth="1"/>
    <col min="1893" max="1893" width="7.5703125" style="52" customWidth="1"/>
    <col min="1894" max="1914" width="0" style="52" hidden="1" customWidth="1"/>
    <col min="1915" max="1915" width="7.85546875" style="52" customWidth="1"/>
    <col min="1916" max="1932" width="0" style="52" hidden="1" customWidth="1"/>
    <col min="1933" max="1933" width="7.5703125" style="52" customWidth="1"/>
    <col min="1934" max="1953" width="0" style="52" hidden="1" customWidth="1"/>
    <col min="1954" max="1954" width="7.5703125" style="52" customWidth="1"/>
    <col min="1955" max="1973" width="0" style="52" hidden="1" customWidth="1"/>
    <col min="1974" max="1974" width="8.28515625" style="52" customWidth="1"/>
    <col min="1975" max="1985" width="0" style="52" hidden="1" customWidth="1"/>
    <col min="1986" max="1988" width="8.140625" style="52" customWidth="1"/>
    <col min="1989" max="1989" width="7.42578125" style="52" customWidth="1"/>
    <col min="1990" max="1990" width="5.7109375" style="52" customWidth="1"/>
    <col min="1991" max="1991" width="6.42578125" style="52" customWidth="1"/>
    <col min="1992" max="1992" width="5.7109375" style="52" customWidth="1"/>
    <col min="1993" max="1993" width="5.42578125" style="52" customWidth="1"/>
    <col min="1994" max="1994" width="5.28515625" style="52" customWidth="1"/>
    <col min="1995" max="1995" width="5.42578125" style="52" customWidth="1"/>
    <col min="1996" max="1996" width="5.28515625" style="52" customWidth="1"/>
    <col min="1997" max="1997" width="5.85546875" style="52" customWidth="1"/>
    <col min="1998" max="1998" width="6.140625" style="52" customWidth="1"/>
    <col min="1999" max="2138" width="9.140625" style="52"/>
    <col min="2139" max="2139" width="18.5703125" style="52" customWidth="1"/>
    <col min="2140" max="2140" width="3.5703125" style="52" customWidth="1"/>
    <col min="2141" max="2141" width="3" style="52" customWidth="1"/>
    <col min="2142" max="2142" width="8.140625" style="52" customWidth="1"/>
    <col min="2143" max="2148" width="0" style="52" hidden="1" customWidth="1"/>
    <col min="2149" max="2149" width="7.5703125" style="52" customWidth="1"/>
    <col min="2150" max="2170" width="0" style="52" hidden="1" customWidth="1"/>
    <col min="2171" max="2171" width="7.85546875" style="52" customWidth="1"/>
    <col min="2172" max="2188" width="0" style="52" hidden="1" customWidth="1"/>
    <col min="2189" max="2189" width="7.5703125" style="52" customWidth="1"/>
    <col min="2190" max="2209" width="0" style="52" hidden="1" customWidth="1"/>
    <col min="2210" max="2210" width="7.5703125" style="52" customWidth="1"/>
    <col min="2211" max="2229" width="0" style="52" hidden="1" customWidth="1"/>
    <col min="2230" max="2230" width="8.28515625" style="52" customWidth="1"/>
    <col min="2231" max="2241" width="0" style="52" hidden="1" customWidth="1"/>
    <col min="2242" max="2244" width="8.140625" style="52" customWidth="1"/>
    <col min="2245" max="2245" width="7.42578125" style="52" customWidth="1"/>
    <col min="2246" max="2246" width="5.7109375" style="52" customWidth="1"/>
    <col min="2247" max="2247" width="6.42578125" style="52" customWidth="1"/>
    <col min="2248" max="2248" width="5.7109375" style="52" customWidth="1"/>
    <col min="2249" max="2249" width="5.42578125" style="52" customWidth="1"/>
    <col min="2250" max="2250" width="5.28515625" style="52" customWidth="1"/>
    <col min="2251" max="2251" width="5.42578125" style="52" customWidth="1"/>
    <col min="2252" max="2252" width="5.28515625" style="52" customWidth="1"/>
    <col min="2253" max="2253" width="5.85546875" style="52" customWidth="1"/>
    <col min="2254" max="2254" width="6.140625" style="52" customWidth="1"/>
    <col min="2255" max="2394" width="9.140625" style="52"/>
    <col min="2395" max="2395" width="18.5703125" style="52" customWidth="1"/>
    <col min="2396" max="2396" width="3.5703125" style="52" customWidth="1"/>
    <col min="2397" max="2397" width="3" style="52" customWidth="1"/>
    <col min="2398" max="2398" width="8.140625" style="52" customWidth="1"/>
    <col min="2399" max="2404" width="0" style="52" hidden="1" customWidth="1"/>
    <col min="2405" max="2405" width="7.5703125" style="52" customWidth="1"/>
    <col min="2406" max="2426" width="0" style="52" hidden="1" customWidth="1"/>
    <col min="2427" max="2427" width="7.85546875" style="52" customWidth="1"/>
    <col min="2428" max="2444" width="0" style="52" hidden="1" customWidth="1"/>
    <col min="2445" max="2445" width="7.5703125" style="52" customWidth="1"/>
    <col min="2446" max="2465" width="0" style="52" hidden="1" customWidth="1"/>
    <col min="2466" max="2466" width="7.5703125" style="52" customWidth="1"/>
    <col min="2467" max="2485" width="0" style="52" hidden="1" customWidth="1"/>
    <col min="2486" max="2486" width="8.28515625" style="52" customWidth="1"/>
    <col min="2487" max="2497" width="0" style="52" hidden="1" customWidth="1"/>
    <col min="2498" max="2500" width="8.140625" style="52" customWidth="1"/>
    <col min="2501" max="2501" width="7.42578125" style="52" customWidth="1"/>
    <col min="2502" max="2502" width="5.7109375" style="52" customWidth="1"/>
    <col min="2503" max="2503" width="6.42578125" style="52" customWidth="1"/>
    <col min="2504" max="2504" width="5.7109375" style="52" customWidth="1"/>
    <col min="2505" max="2505" width="5.42578125" style="52" customWidth="1"/>
    <col min="2506" max="2506" width="5.28515625" style="52" customWidth="1"/>
    <col min="2507" max="2507" width="5.42578125" style="52" customWidth="1"/>
    <col min="2508" max="2508" width="5.28515625" style="52" customWidth="1"/>
    <col min="2509" max="2509" width="5.85546875" style="52" customWidth="1"/>
    <col min="2510" max="2510" width="6.140625" style="52" customWidth="1"/>
    <col min="2511" max="2650" width="9.140625" style="52"/>
    <col min="2651" max="2651" width="18.5703125" style="52" customWidth="1"/>
    <col min="2652" max="2652" width="3.5703125" style="52" customWidth="1"/>
    <col min="2653" max="2653" width="3" style="52" customWidth="1"/>
    <col min="2654" max="2654" width="8.140625" style="52" customWidth="1"/>
    <col min="2655" max="2660" width="0" style="52" hidden="1" customWidth="1"/>
    <col min="2661" max="2661" width="7.5703125" style="52" customWidth="1"/>
    <col min="2662" max="2682" width="0" style="52" hidden="1" customWidth="1"/>
    <col min="2683" max="2683" width="7.85546875" style="52" customWidth="1"/>
    <col min="2684" max="2700" width="0" style="52" hidden="1" customWidth="1"/>
    <col min="2701" max="2701" width="7.5703125" style="52" customWidth="1"/>
    <col min="2702" max="2721" width="0" style="52" hidden="1" customWidth="1"/>
    <col min="2722" max="2722" width="7.5703125" style="52" customWidth="1"/>
    <col min="2723" max="2741" width="0" style="52" hidden="1" customWidth="1"/>
    <col min="2742" max="2742" width="8.28515625" style="52" customWidth="1"/>
    <col min="2743" max="2753" width="0" style="52" hidden="1" customWidth="1"/>
    <col min="2754" max="2756" width="8.140625" style="52" customWidth="1"/>
    <col min="2757" max="2757" width="7.42578125" style="52" customWidth="1"/>
    <col min="2758" max="2758" width="5.7109375" style="52" customWidth="1"/>
    <col min="2759" max="2759" width="6.42578125" style="52" customWidth="1"/>
    <col min="2760" max="2760" width="5.7109375" style="52" customWidth="1"/>
    <col min="2761" max="2761" width="5.42578125" style="52" customWidth="1"/>
    <col min="2762" max="2762" width="5.28515625" style="52" customWidth="1"/>
    <col min="2763" max="2763" width="5.42578125" style="52" customWidth="1"/>
    <col min="2764" max="2764" width="5.28515625" style="52" customWidth="1"/>
    <col min="2765" max="2765" width="5.85546875" style="52" customWidth="1"/>
    <col min="2766" max="2766" width="6.140625" style="52" customWidth="1"/>
    <col min="2767" max="2906" width="9.140625" style="52"/>
    <col min="2907" max="2907" width="18.5703125" style="52" customWidth="1"/>
    <col min="2908" max="2908" width="3.5703125" style="52" customWidth="1"/>
    <col min="2909" max="2909" width="3" style="52" customWidth="1"/>
    <col min="2910" max="2910" width="8.140625" style="52" customWidth="1"/>
    <col min="2911" max="2916" width="0" style="52" hidden="1" customWidth="1"/>
    <col min="2917" max="2917" width="7.5703125" style="52" customWidth="1"/>
    <col min="2918" max="2938" width="0" style="52" hidden="1" customWidth="1"/>
    <col min="2939" max="2939" width="7.85546875" style="52" customWidth="1"/>
    <col min="2940" max="2956" width="0" style="52" hidden="1" customWidth="1"/>
    <col min="2957" max="2957" width="7.5703125" style="52" customWidth="1"/>
    <col min="2958" max="2977" width="0" style="52" hidden="1" customWidth="1"/>
    <col min="2978" max="2978" width="7.5703125" style="52" customWidth="1"/>
    <col min="2979" max="2997" width="0" style="52" hidden="1" customWidth="1"/>
    <col min="2998" max="2998" width="8.28515625" style="52" customWidth="1"/>
    <col min="2999" max="3009" width="0" style="52" hidden="1" customWidth="1"/>
    <col min="3010" max="3012" width="8.140625" style="52" customWidth="1"/>
    <col min="3013" max="3013" width="7.42578125" style="52" customWidth="1"/>
    <col min="3014" max="3014" width="5.7109375" style="52" customWidth="1"/>
    <col min="3015" max="3015" width="6.42578125" style="52" customWidth="1"/>
    <col min="3016" max="3016" width="5.7109375" style="52" customWidth="1"/>
    <col min="3017" max="3017" width="5.42578125" style="52" customWidth="1"/>
    <col min="3018" max="3018" width="5.28515625" style="52" customWidth="1"/>
    <col min="3019" max="3019" width="5.42578125" style="52" customWidth="1"/>
    <col min="3020" max="3020" width="5.28515625" style="52" customWidth="1"/>
    <col min="3021" max="3021" width="5.85546875" style="52" customWidth="1"/>
    <col min="3022" max="3022" width="6.140625" style="52" customWidth="1"/>
    <col min="3023" max="3162" width="9.140625" style="52"/>
    <col min="3163" max="3163" width="18.5703125" style="52" customWidth="1"/>
    <col min="3164" max="3164" width="3.5703125" style="52" customWidth="1"/>
    <col min="3165" max="3165" width="3" style="52" customWidth="1"/>
    <col min="3166" max="3166" width="8.140625" style="52" customWidth="1"/>
    <col min="3167" max="3172" width="0" style="52" hidden="1" customWidth="1"/>
    <col min="3173" max="3173" width="7.5703125" style="52" customWidth="1"/>
    <col min="3174" max="3194" width="0" style="52" hidden="1" customWidth="1"/>
    <col min="3195" max="3195" width="7.85546875" style="52" customWidth="1"/>
    <col min="3196" max="3212" width="0" style="52" hidden="1" customWidth="1"/>
    <col min="3213" max="3213" width="7.5703125" style="52" customWidth="1"/>
    <col min="3214" max="3233" width="0" style="52" hidden="1" customWidth="1"/>
    <col min="3234" max="3234" width="7.5703125" style="52" customWidth="1"/>
    <col min="3235" max="3253" width="0" style="52" hidden="1" customWidth="1"/>
    <col min="3254" max="3254" width="8.28515625" style="52" customWidth="1"/>
    <col min="3255" max="3265" width="0" style="52" hidden="1" customWidth="1"/>
    <col min="3266" max="3268" width="8.140625" style="52" customWidth="1"/>
    <col min="3269" max="3269" width="7.42578125" style="52" customWidth="1"/>
    <col min="3270" max="3270" width="5.7109375" style="52" customWidth="1"/>
    <col min="3271" max="3271" width="6.42578125" style="52" customWidth="1"/>
    <col min="3272" max="3272" width="5.7109375" style="52" customWidth="1"/>
    <col min="3273" max="3273" width="5.42578125" style="52" customWidth="1"/>
    <col min="3274" max="3274" width="5.28515625" style="52" customWidth="1"/>
    <col min="3275" max="3275" width="5.42578125" style="52" customWidth="1"/>
    <col min="3276" max="3276" width="5.28515625" style="52" customWidth="1"/>
    <col min="3277" max="3277" width="5.85546875" style="52" customWidth="1"/>
    <col min="3278" max="3278" width="6.140625" style="52" customWidth="1"/>
    <col min="3279" max="3418" width="9.140625" style="52"/>
    <col min="3419" max="3419" width="18.5703125" style="52" customWidth="1"/>
    <col min="3420" max="3420" width="3.5703125" style="52" customWidth="1"/>
    <col min="3421" max="3421" width="3" style="52" customWidth="1"/>
    <col min="3422" max="3422" width="8.140625" style="52" customWidth="1"/>
    <col min="3423" max="3428" width="0" style="52" hidden="1" customWidth="1"/>
    <col min="3429" max="3429" width="7.5703125" style="52" customWidth="1"/>
    <col min="3430" max="3450" width="0" style="52" hidden="1" customWidth="1"/>
    <col min="3451" max="3451" width="7.85546875" style="52" customWidth="1"/>
    <col min="3452" max="3468" width="0" style="52" hidden="1" customWidth="1"/>
    <col min="3469" max="3469" width="7.5703125" style="52" customWidth="1"/>
    <col min="3470" max="3489" width="0" style="52" hidden="1" customWidth="1"/>
    <col min="3490" max="3490" width="7.5703125" style="52" customWidth="1"/>
    <col min="3491" max="3509" width="0" style="52" hidden="1" customWidth="1"/>
    <col min="3510" max="3510" width="8.28515625" style="52" customWidth="1"/>
    <col min="3511" max="3521" width="0" style="52" hidden="1" customWidth="1"/>
    <col min="3522" max="3524" width="8.140625" style="52" customWidth="1"/>
    <col min="3525" max="3525" width="7.42578125" style="52" customWidth="1"/>
    <col min="3526" max="3526" width="5.7109375" style="52" customWidth="1"/>
    <col min="3527" max="3527" width="6.42578125" style="52" customWidth="1"/>
    <col min="3528" max="3528" width="5.7109375" style="52" customWidth="1"/>
    <col min="3529" max="3529" width="5.42578125" style="52" customWidth="1"/>
    <col min="3530" max="3530" width="5.28515625" style="52" customWidth="1"/>
    <col min="3531" max="3531" width="5.42578125" style="52" customWidth="1"/>
    <col min="3532" max="3532" width="5.28515625" style="52" customWidth="1"/>
    <col min="3533" max="3533" width="5.85546875" style="52" customWidth="1"/>
    <col min="3534" max="3534" width="6.140625" style="52" customWidth="1"/>
    <col min="3535" max="3674" width="9.140625" style="52"/>
    <col min="3675" max="3675" width="18.5703125" style="52" customWidth="1"/>
    <col min="3676" max="3676" width="3.5703125" style="52" customWidth="1"/>
    <col min="3677" max="3677" width="3" style="52" customWidth="1"/>
    <col min="3678" max="3678" width="8.140625" style="52" customWidth="1"/>
    <col min="3679" max="3684" width="0" style="52" hidden="1" customWidth="1"/>
    <col min="3685" max="3685" width="7.5703125" style="52" customWidth="1"/>
    <col min="3686" max="3706" width="0" style="52" hidden="1" customWidth="1"/>
    <col min="3707" max="3707" width="7.85546875" style="52" customWidth="1"/>
    <col min="3708" max="3724" width="0" style="52" hidden="1" customWidth="1"/>
    <col min="3725" max="3725" width="7.5703125" style="52" customWidth="1"/>
    <col min="3726" max="3745" width="0" style="52" hidden="1" customWidth="1"/>
    <col min="3746" max="3746" width="7.5703125" style="52" customWidth="1"/>
    <col min="3747" max="3765" width="0" style="52" hidden="1" customWidth="1"/>
    <col min="3766" max="3766" width="8.28515625" style="52" customWidth="1"/>
    <col min="3767" max="3777" width="0" style="52" hidden="1" customWidth="1"/>
    <col min="3778" max="3780" width="8.140625" style="52" customWidth="1"/>
    <col min="3781" max="3781" width="7.42578125" style="52" customWidth="1"/>
    <col min="3782" max="3782" width="5.7109375" style="52" customWidth="1"/>
    <col min="3783" max="3783" width="6.42578125" style="52" customWidth="1"/>
    <col min="3784" max="3784" width="5.7109375" style="52" customWidth="1"/>
    <col min="3785" max="3785" width="5.42578125" style="52" customWidth="1"/>
    <col min="3786" max="3786" width="5.28515625" style="52" customWidth="1"/>
    <col min="3787" max="3787" width="5.42578125" style="52" customWidth="1"/>
    <col min="3788" max="3788" width="5.28515625" style="52" customWidth="1"/>
    <col min="3789" max="3789" width="5.85546875" style="52" customWidth="1"/>
    <col min="3790" max="3790" width="6.140625" style="52" customWidth="1"/>
    <col min="3791" max="3930" width="9.140625" style="52"/>
    <col min="3931" max="3931" width="18.5703125" style="52" customWidth="1"/>
    <col min="3932" max="3932" width="3.5703125" style="52" customWidth="1"/>
    <col min="3933" max="3933" width="3" style="52" customWidth="1"/>
    <col min="3934" max="3934" width="8.140625" style="52" customWidth="1"/>
    <col min="3935" max="3940" width="0" style="52" hidden="1" customWidth="1"/>
    <col min="3941" max="3941" width="7.5703125" style="52" customWidth="1"/>
    <col min="3942" max="3962" width="0" style="52" hidden="1" customWidth="1"/>
    <col min="3963" max="3963" width="7.85546875" style="52" customWidth="1"/>
    <col min="3964" max="3980" width="0" style="52" hidden="1" customWidth="1"/>
    <col min="3981" max="3981" width="7.5703125" style="52" customWidth="1"/>
    <col min="3982" max="4001" width="0" style="52" hidden="1" customWidth="1"/>
    <col min="4002" max="4002" width="7.5703125" style="52" customWidth="1"/>
    <col min="4003" max="4021" width="0" style="52" hidden="1" customWidth="1"/>
    <col min="4022" max="4022" width="8.28515625" style="52" customWidth="1"/>
    <col min="4023" max="4033" width="0" style="52" hidden="1" customWidth="1"/>
    <col min="4034" max="4036" width="8.140625" style="52" customWidth="1"/>
    <col min="4037" max="4037" width="7.42578125" style="52" customWidth="1"/>
    <col min="4038" max="4038" width="5.7109375" style="52" customWidth="1"/>
    <col min="4039" max="4039" width="6.42578125" style="52" customWidth="1"/>
    <col min="4040" max="4040" width="5.7109375" style="52" customWidth="1"/>
    <col min="4041" max="4041" width="5.42578125" style="52" customWidth="1"/>
    <col min="4042" max="4042" width="5.28515625" style="52" customWidth="1"/>
    <col min="4043" max="4043" width="5.42578125" style="52" customWidth="1"/>
    <col min="4044" max="4044" width="5.28515625" style="52" customWidth="1"/>
    <col min="4045" max="4045" width="5.85546875" style="52" customWidth="1"/>
    <col min="4046" max="4046" width="6.140625" style="52" customWidth="1"/>
    <col min="4047" max="4186" width="9.140625" style="52"/>
    <col min="4187" max="4187" width="18.5703125" style="52" customWidth="1"/>
    <col min="4188" max="4188" width="3.5703125" style="52" customWidth="1"/>
    <col min="4189" max="4189" width="3" style="52" customWidth="1"/>
    <col min="4190" max="4190" width="8.140625" style="52" customWidth="1"/>
    <col min="4191" max="4196" width="0" style="52" hidden="1" customWidth="1"/>
    <col min="4197" max="4197" width="7.5703125" style="52" customWidth="1"/>
    <col min="4198" max="4218" width="0" style="52" hidden="1" customWidth="1"/>
    <col min="4219" max="4219" width="7.85546875" style="52" customWidth="1"/>
    <col min="4220" max="4236" width="0" style="52" hidden="1" customWidth="1"/>
    <col min="4237" max="4237" width="7.5703125" style="52" customWidth="1"/>
    <col min="4238" max="4257" width="0" style="52" hidden="1" customWidth="1"/>
    <col min="4258" max="4258" width="7.5703125" style="52" customWidth="1"/>
    <col min="4259" max="4277" width="0" style="52" hidden="1" customWidth="1"/>
    <col min="4278" max="4278" width="8.28515625" style="52" customWidth="1"/>
    <col min="4279" max="4289" width="0" style="52" hidden="1" customWidth="1"/>
    <col min="4290" max="4292" width="8.140625" style="52" customWidth="1"/>
    <col min="4293" max="4293" width="7.42578125" style="52" customWidth="1"/>
    <col min="4294" max="4294" width="5.7109375" style="52" customWidth="1"/>
    <col min="4295" max="4295" width="6.42578125" style="52" customWidth="1"/>
    <col min="4296" max="4296" width="5.7109375" style="52" customWidth="1"/>
    <col min="4297" max="4297" width="5.42578125" style="52" customWidth="1"/>
    <col min="4298" max="4298" width="5.28515625" style="52" customWidth="1"/>
    <col min="4299" max="4299" width="5.42578125" style="52" customWidth="1"/>
    <col min="4300" max="4300" width="5.28515625" style="52" customWidth="1"/>
    <col min="4301" max="4301" width="5.85546875" style="52" customWidth="1"/>
    <col min="4302" max="4302" width="6.140625" style="52" customWidth="1"/>
    <col min="4303" max="4442" width="9.140625" style="52"/>
    <col min="4443" max="4443" width="18.5703125" style="52" customWidth="1"/>
    <col min="4444" max="4444" width="3.5703125" style="52" customWidth="1"/>
    <col min="4445" max="4445" width="3" style="52" customWidth="1"/>
    <col min="4446" max="4446" width="8.140625" style="52" customWidth="1"/>
    <col min="4447" max="4452" width="0" style="52" hidden="1" customWidth="1"/>
    <col min="4453" max="4453" width="7.5703125" style="52" customWidth="1"/>
    <col min="4454" max="4474" width="0" style="52" hidden="1" customWidth="1"/>
    <col min="4475" max="4475" width="7.85546875" style="52" customWidth="1"/>
    <col min="4476" max="4492" width="0" style="52" hidden="1" customWidth="1"/>
    <col min="4493" max="4493" width="7.5703125" style="52" customWidth="1"/>
    <col min="4494" max="4513" width="0" style="52" hidden="1" customWidth="1"/>
    <col min="4514" max="4514" width="7.5703125" style="52" customWidth="1"/>
    <col min="4515" max="4533" width="0" style="52" hidden="1" customWidth="1"/>
    <col min="4534" max="4534" width="8.28515625" style="52" customWidth="1"/>
    <col min="4535" max="4545" width="0" style="52" hidden="1" customWidth="1"/>
    <col min="4546" max="4548" width="8.140625" style="52" customWidth="1"/>
    <col min="4549" max="4549" width="7.42578125" style="52" customWidth="1"/>
    <col min="4550" max="4550" width="5.7109375" style="52" customWidth="1"/>
    <col min="4551" max="4551" width="6.42578125" style="52" customWidth="1"/>
    <col min="4552" max="4552" width="5.7109375" style="52" customWidth="1"/>
    <col min="4553" max="4553" width="5.42578125" style="52" customWidth="1"/>
    <col min="4554" max="4554" width="5.28515625" style="52" customWidth="1"/>
    <col min="4555" max="4555" width="5.42578125" style="52" customWidth="1"/>
    <col min="4556" max="4556" width="5.28515625" style="52" customWidth="1"/>
    <col min="4557" max="4557" width="5.85546875" style="52" customWidth="1"/>
    <col min="4558" max="4558" width="6.140625" style="52" customWidth="1"/>
    <col min="4559" max="4698" width="9.140625" style="52"/>
    <col min="4699" max="4699" width="18.5703125" style="52" customWidth="1"/>
    <col min="4700" max="4700" width="3.5703125" style="52" customWidth="1"/>
    <col min="4701" max="4701" width="3" style="52" customWidth="1"/>
    <col min="4702" max="4702" width="8.140625" style="52" customWidth="1"/>
    <col min="4703" max="4708" width="0" style="52" hidden="1" customWidth="1"/>
    <col min="4709" max="4709" width="7.5703125" style="52" customWidth="1"/>
    <col min="4710" max="4730" width="0" style="52" hidden="1" customWidth="1"/>
    <col min="4731" max="4731" width="7.85546875" style="52" customWidth="1"/>
    <col min="4732" max="4748" width="0" style="52" hidden="1" customWidth="1"/>
    <col min="4749" max="4749" width="7.5703125" style="52" customWidth="1"/>
    <col min="4750" max="4769" width="0" style="52" hidden="1" customWidth="1"/>
    <col min="4770" max="4770" width="7.5703125" style="52" customWidth="1"/>
    <col min="4771" max="4789" width="0" style="52" hidden="1" customWidth="1"/>
    <col min="4790" max="4790" width="8.28515625" style="52" customWidth="1"/>
    <col min="4791" max="4801" width="0" style="52" hidden="1" customWidth="1"/>
    <col min="4802" max="4804" width="8.140625" style="52" customWidth="1"/>
    <col min="4805" max="4805" width="7.42578125" style="52" customWidth="1"/>
    <col min="4806" max="4806" width="5.7109375" style="52" customWidth="1"/>
    <col min="4807" max="4807" width="6.42578125" style="52" customWidth="1"/>
    <col min="4808" max="4808" width="5.7109375" style="52" customWidth="1"/>
    <col min="4809" max="4809" width="5.42578125" style="52" customWidth="1"/>
    <col min="4810" max="4810" width="5.28515625" style="52" customWidth="1"/>
    <col min="4811" max="4811" width="5.42578125" style="52" customWidth="1"/>
    <col min="4812" max="4812" width="5.28515625" style="52" customWidth="1"/>
    <col min="4813" max="4813" width="5.85546875" style="52" customWidth="1"/>
    <col min="4814" max="4814" width="6.140625" style="52" customWidth="1"/>
    <col min="4815" max="4954" width="9.140625" style="52"/>
    <col min="4955" max="4955" width="18.5703125" style="52" customWidth="1"/>
    <col min="4956" max="4956" width="3.5703125" style="52" customWidth="1"/>
    <col min="4957" max="4957" width="3" style="52" customWidth="1"/>
    <col min="4958" max="4958" width="8.140625" style="52" customWidth="1"/>
    <col min="4959" max="4964" width="0" style="52" hidden="1" customWidth="1"/>
    <col min="4965" max="4965" width="7.5703125" style="52" customWidth="1"/>
    <col min="4966" max="4986" width="0" style="52" hidden="1" customWidth="1"/>
    <col min="4987" max="4987" width="7.85546875" style="52" customWidth="1"/>
    <col min="4988" max="5004" width="0" style="52" hidden="1" customWidth="1"/>
    <col min="5005" max="5005" width="7.5703125" style="52" customWidth="1"/>
    <col min="5006" max="5025" width="0" style="52" hidden="1" customWidth="1"/>
    <col min="5026" max="5026" width="7.5703125" style="52" customWidth="1"/>
    <col min="5027" max="5045" width="0" style="52" hidden="1" customWidth="1"/>
    <col min="5046" max="5046" width="8.28515625" style="52" customWidth="1"/>
    <col min="5047" max="5057" width="0" style="52" hidden="1" customWidth="1"/>
    <col min="5058" max="5060" width="8.140625" style="52" customWidth="1"/>
    <col min="5061" max="5061" width="7.42578125" style="52" customWidth="1"/>
    <col min="5062" max="5062" width="5.7109375" style="52" customWidth="1"/>
    <col min="5063" max="5063" width="6.42578125" style="52" customWidth="1"/>
    <col min="5064" max="5064" width="5.7109375" style="52" customWidth="1"/>
    <col min="5065" max="5065" width="5.42578125" style="52" customWidth="1"/>
    <col min="5066" max="5066" width="5.28515625" style="52" customWidth="1"/>
    <col min="5067" max="5067" width="5.42578125" style="52" customWidth="1"/>
    <col min="5068" max="5068" width="5.28515625" style="52" customWidth="1"/>
    <col min="5069" max="5069" width="5.85546875" style="52" customWidth="1"/>
    <col min="5070" max="5070" width="6.140625" style="52" customWidth="1"/>
    <col min="5071" max="5210" width="9.140625" style="52"/>
    <col min="5211" max="5211" width="18.5703125" style="52" customWidth="1"/>
    <col min="5212" max="5212" width="3.5703125" style="52" customWidth="1"/>
    <col min="5213" max="5213" width="3" style="52" customWidth="1"/>
    <col min="5214" max="5214" width="8.140625" style="52" customWidth="1"/>
    <col min="5215" max="5220" width="0" style="52" hidden="1" customWidth="1"/>
    <col min="5221" max="5221" width="7.5703125" style="52" customWidth="1"/>
    <col min="5222" max="5242" width="0" style="52" hidden="1" customWidth="1"/>
    <col min="5243" max="5243" width="7.85546875" style="52" customWidth="1"/>
    <col min="5244" max="5260" width="0" style="52" hidden="1" customWidth="1"/>
    <col min="5261" max="5261" width="7.5703125" style="52" customWidth="1"/>
    <col min="5262" max="5281" width="0" style="52" hidden="1" customWidth="1"/>
    <col min="5282" max="5282" width="7.5703125" style="52" customWidth="1"/>
    <col min="5283" max="5301" width="0" style="52" hidden="1" customWidth="1"/>
    <col min="5302" max="5302" width="8.28515625" style="52" customWidth="1"/>
    <col min="5303" max="5313" width="0" style="52" hidden="1" customWidth="1"/>
    <col min="5314" max="5316" width="8.140625" style="52" customWidth="1"/>
    <col min="5317" max="5317" width="7.42578125" style="52" customWidth="1"/>
    <col min="5318" max="5318" width="5.7109375" style="52" customWidth="1"/>
    <col min="5319" max="5319" width="6.42578125" style="52" customWidth="1"/>
    <col min="5320" max="5320" width="5.7109375" style="52" customWidth="1"/>
    <col min="5321" max="5321" width="5.42578125" style="52" customWidth="1"/>
    <col min="5322" max="5322" width="5.28515625" style="52" customWidth="1"/>
    <col min="5323" max="5323" width="5.42578125" style="52" customWidth="1"/>
    <col min="5324" max="5324" width="5.28515625" style="52" customWidth="1"/>
    <col min="5325" max="5325" width="5.85546875" style="52" customWidth="1"/>
    <col min="5326" max="5326" width="6.140625" style="52" customWidth="1"/>
    <col min="5327" max="5466" width="9.140625" style="52"/>
    <col min="5467" max="5467" width="18.5703125" style="52" customWidth="1"/>
    <col min="5468" max="5468" width="3.5703125" style="52" customWidth="1"/>
    <col min="5469" max="5469" width="3" style="52" customWidth="1"/>
    <col min="5470" max="5470" width="8.140625" style="52" customWidth="1"/>
    <col min="5471" max="5476" width="0" style="52" hidden="1" customWidth="1"/>
    <col min="5477" max="5477" width="7.5703125" style="52" customWidth="1"/>
    <col min="5478" max="5498" width="0" style="52" hidden="1" customWidth="1"/>
    <col min="5499" max="5499" width="7.85546875" style="52" customWidth="1"/>
    <col min="5500" max="5516" width="0" style="52" hidden="1" customWidth="1"/>
    <col min="5517" max="5517" width="7.5703125" style="52" customWidth="1"/>
    <col min="5518" max="5537" width="0" style="52" hidden="1" customWidth="1"/>
    <col min="5538" max="5538" width="7.5703125" style="52" customWidth="1"/>
    <col min="5539" max="5557" width="0" style="52" hidden="1" customWidth="1"/>
    <col min="5558" max="5558" width="8.28515625" style="52" customWidth="1"/>
    <col min="5559" max="5569" width="0" style="52" hidden="1" customWidth="1"/>
    <col min="5570" max="5572" width="8.140625" style="52" customWidth="1"/>
    <col min="5573" max="5573" width="7.42578125" style="52" customWidth="1"/>
    <col min="5574" max="5574" width="5.7109375" style="52" customWidth="1"/>
    <col min="5575" max="5575" width="6.42578125" style="52" customWidth="1"/>
    <col min="5576" max="5576" width="5.7109375" style="52" customWidth="1"/>
    <col min="5577" max="5577" width="5.42578125" style="52" customWidth="1"/>
    <col min="5578" max="5578" width="5.28515625" style="52" customWidth="1"/>
    <col min="5579" max="5579" width="5.42578125" style="52" customWidth="1"/>
    <col min="5580" max="5580" width="5.28515625" style="52" customWidth="1"/>
    <col min="5581" max="5581" width="5.85546875" style="52" customWidth="1"/>
    <col min="5582" max="5582" width="6.140625" style="52" customWidth="1"/>
    <col min="5583" max="5722" width="9.140625" style="52"/>
    <col min="5723" max="5723" width="18.5703125" style="52" customWidth="1"/>
    <col min="5724" max="5724" width="3.5703125" style="52" customWidth="1"/>
    <col min="5725" max="5725" width="3" style="52" customWidth="1"/>
    <col min="5726" max="5726" width="8.140625" style="52" customWidth="1"/>
    <col min="5727" max="5732" width="0" style="52" hidden="1" customWidth="1"/>
    <col min="5733" max="5733" width="7.5703125" style="52" customWidth="1"/>
    <col min="5734" max="5754" width="0" style="52" hidden="1" customWidth="1"/>
    <col min="5755" max="5755" width="7.85546875" style="52" customWidth="1"/>
    <col min="5756" max="5772" width="0" style="52" hidden="1" customWidth="1"/>
    <col min="5773" max="5773" width="7.5703125" style="52" customWidth="1"/>
    <col min="5774" max="5793" width="0" style="52" hidden="1" customWidth="1"/>
    <col min="5794" max="5794" width="7.5703125" style="52" customWidth="1"/>
    <col min="5795" max="5813" width="0" style="52" hidden="1" customWidth="1"/>
    <col min="5814" max="5814" width="8.28515625" style="52" customWidth="1"/>
    <col min="5815" max="5825" width="0" style="52" hidden="1" customWidth="1"/>
    <col min="5826" max="5828" width="8.140625" style="52" customWidth="1"/>
    <col min="5829" max="5829" width="7.42578125" style="52" customWidth="1"/>
    <col min="5830" max="5830" width="5.7109375" style="52" customWidth="1"/>
    <col min="5831" max="5831" width="6.42578125" style="52" customWidth="1"/>
    <col min="5832" max="5832" width="5.7109375" style="52" customWidth="1"/>
    <col min="5833" max="5833" width="5.42578125" style="52" customWidth="1"/>
    <col min="5834" max="5834" width="5.28515625" style="52" customWidth="1"/>
    <col min="5835" max="5835" width="5.42578125" style="52" customWidth="1"/>
    <col min="5836" max="5836" width="5.28515625" style="52" customWidth="1"/>
    <col min="5837" max="5837" width="5.85546875" style="52" customWidth="1"/>
    <col min="5838" max="5838" width="6.140625" style="52" customWidth="1"/>
    <col min="5839" max="5978" width="9.140625" style="52"/>
    <col min="5979" max="5979" width="18.5703125" style="52" customWidth="1"/>
    <col min="5980" max="5980" width="3.5703125" style="52" customWidth="1"/>
    <col min="5981" max="5981" width="3" style="52" customWidth="1"/>
    <col min="5982" max="5982" width="8.140625" style="52" customWidth="1"/>
    <col min="5983" max="5988" width="0" style="52" hidden="1" customWidth="1"/>
    <col min="5989" max="5989" width="7.5703125" style="52" customWidth="1"/>
    <col min="5990" max="6010" width="0" style="52" hidden="1" customWidth="1"/>
    <col min="6011" max="6011" width="7.85546875" style="52" customWidth="1"/>
    <col min="6012" max="6028" width="0" style="52" hidden="1" customWidth="1"/>
    <col min="6029" max="6029" width="7.5703125" style="52" customWidth="1"/>
    <col min="6030" max="6049" width="0" style="52" hidden="1" customWidth="1"/>
    <col min="6050" max="6050" width="7.5703125" style="52" customWidth="1"/>
    <col min="6051" max="6069" width="0" style="52" hidden="1" customWidth="1"/>
    <col min="6070" max="6070" width="8.28515625" style="52" customWidth="1"/>
    <col min="6071" max="6081" width="0" style="52" hidden="1" customWidth="1"/>
    <col min="6082" max="6084" width="8.140625" style="52" customWidth="1"/>
    <col min="6085" max="6085" width="7.42578125" style="52" customWidth="1"/>
    <col min="6086" max="6086" width="5.7109375" style="52" customWidth="1"/>
    <col min="6087" max="6087" width="6.42578125" style="52" customWidth="1"/>
    <col min="6088" max="6088" width="5.7109375" style="52" customWidth="1"/>
    <col min="6089" max="6089" width="5.42578125" style="52" customWidth="1"/>
    <col min="6090" max="6090" width="5.28515625" style="52" customWidth="1"/>
    <col min="6091" max="6091" width="5.42578125" style="52" customWidth="1"/>
    <col min="6092" max="6092" width="5.28515625" style="52" customWidth="1"/>
    <col min="6093" max="6093" width="5.85546875" style="52" customWidth="1"/>
    <col min="6094" max="6094" width="6.140625" style="52" customWidth="1"/>
    <col min="6095" max="6234" width="9.140625" style="52"/>
    <col min="6235" max="6235" width="18.5703125" style="52" customWidth="1"/>
    <col min="6236" max="6236" width="3.5703125" style="52" customWidth="1"/>
    <col min="6237" max="6237" width="3" style="52" customWidth="1"/>
    <col min="6238" max="6238" width="8.140625" style="52" customWidth="1"/>
    <col min="6239" max="6244" width="0" style="52" hidden="1" customWidth="1"/>
    <col min="6245" max="6245" width="7.5703125" style="52" customWidth="1"/>
    <col min="6246" max="6266" width="0" style="52" hidden="1" customWidth="1"/>
    <col min="6267" max="6267" width="7.85546875" style="52" customWidth="1"/>
    <col min="6268" max="6284" width="0" style="52" hidden="1" customWidth="1"/>
    <col min="6285" max="6285" width="7.5703125" style="52" customWidth="1"/>
    <col min="6286" max="6305" width="0" style="52" hidden="1" customWidth="1"/>
    <col min="6306" max="6306" width="7.5703125" style="52" customWidth="1"/>
    <col min="6307" max="6325" width="0" style="52" hidden="1" customWidth="1"/>
    <col min="6326" max="6326" width="8.28515625" style="52" customWidth="1"/>
    <col min="6327" max="6337" width="0" style="52" hidden="1" customWidth="1"/>
    <col min="6338" max="6340" width="8.140625" style="52" customWidth="1"/>
    <col min="6341" max="6341" width="7.42578125" style="52" customWidth="1"/>
    <col min="6342" max="6342" width="5.7109375" style="52" customWidth="1"/>
    <col min="6343" max="6343" width="6.42578125" style="52" customWidth="1"/>
    <col min="6344" max="6344" width="5.7109375" style="52" customWidth="1"/>
    <col min="6345" max="6345" width="5.42578125" style="52" customWidth="1"/>
    <col min="6346" max="6346" width="5.28515625" style="52" customWidth="1"/>
    <col min="6347" max="6347" width="5.42578125" style="52" customWidth="1"/>
    <col min="6348" max="6348" width="5.28515625" style="52" customWidth="1"/>
    <col min="6349" max="6349" width="5.85546875" style="52" customWidth="1"/>
    <col min="6350" max="6350" width="6.140625" style="52" customWidth="1"/>
    <col min="6351" max="6490" width="9.140625" style="52"/>
    <col min="6491" max="6491" width="18.5703125" style="52" customWidth="1"/>
    <col min="6492" max="6492" width="3.5703125" style="52" customWidth="1"/>
    <col min="6493" max="6493" width="3" style="52" customWidth="1"/>
    <col min="6494" max="6494" width="8.140625" style="52" customWidth="1"/>
    <col min="6495" max="6500" width="0" style="52" hidden="1" customWidth="1"/>
    <col min="6501" max="6501" width="7.5703125" style="52" customWidth="1"/>
    <col min="6502" max="6522" width="0" style="52" hidden="1" customWidth="1"/>
    <col min="6523" max="6523" width="7.85546875" style="52" customWidth="1"/>
    <col min="6524" max="6540" width="0" style="52" hidden="1" customWidth="1"/>
    <col min="6541" max="6541" width="7.5703125" style="52" customWidth="1"/>
    <col min="6542" max="6561" width="0" style="52" hidden="1" customWidth="1"/>
    <col min="6562" max="6562" width="7.5703125" style="52" customWidth="1"/>
    <col min="6563" max="6581" width="0" style="52" hidden="1" customWidth="1"/>
    <col min="6582" max="6582" width="8.28515625" style="52" customWidth="1"/>
    <col min="6583" max="6593" width="0" style="52" hidden="1" customWidth="1"/>
    <col min="6594" max="6596" width="8.140625" style="52" customWidth="1"/>
    <col min="6597" max="6597" width="7.42578125" style="52" customWidth="1"/>
    <col min="6598" max="6598" width="5.7109375" style="52" customWidth="1"/>
    <col min="6599" max="6599" width="6.42578125" style="52" customWidth="1"/>
    <col min="6600" max="6600" width="5.7109375" style="52" customWidth="1"/>
    <col min="6601" max="6601" width="5.42578125" style="52" customWidth="1"/>
    <col min="6602" max="6602" width="5.28515625" style="52" customWidth="1"/>
    <col min="6603" max="6603" width="5.42578125" style="52" customWidth="1"/>
    <col min="6604" max="6604" width="5.28515625" style="52" customWidth="1"/>
    <col min="6605" max="6605" width="5.85546875" style="52" customWidth="1"/>
    <col min="6606" max="6606" width="6.140625" style="52" customWidth="1"/>
    <col min="6607" max="6746" width="9.140625" style="52"/>
    <col min="6747" max="6747" width="18.5703125" style="52" customWidth="1"/>
    <col min="6748" max="6748" width="3.5703125" style="52" customWidth="1"/>
    <col min="6749" max="6749" width="3" style="52" customWidth="1"/>
    <col min="6750" max="6750" width="8.140625" style="52" customWidth="1"/>
    <col min="6751" max="6756" width="0" style="52" hidden="1" customWidth="1"/>
    <col min="6757" max="6757" width="7.5703125" style="52" customWidth="1"/>
    <col min="6758" max="6778" width="0" style="52" hidden="1" customWidth="1"/>
    <col min="6779" max="6779" width="7.85546875" style="52" customWidth="1"/>
    <col min="6780" max="6796" width="0" style="52" hidden="1" customWidth="1"/>
    <col min="6797" max="6797" width="7.5703125" style="52" customWidth="1"/>
    <col min="6798" max="6817" width="0" style="52" hidden="1" customWidth="1"/>
    <col min="6818" max="6818" width="7.5703125" style="52" customWidth="1"/>
    <col min="6819" max="6837" width="0" style="52" hidden="1" customWidth="1"/>
    <col min="6838" max="6838" width="8.28515625" style="52" customWidth="1"/>
    <col min="6839" max="6849" width="0" style="52" hidden="1" customWidth="1"/>
    <col min="6850" max="6852" width="8.140625" style="52" customWidth="1"/>
    <col min="6853" max="6853" width="7.42578125" style="52" customWidth="1"/>
    <col min="6854" max="6854" width="5.7109375" style="52" customWidth="1"/>
    <col min="6855" max="6855" width="6.42578125" style="52" customWidth="1"/>
    <col min="6856" max="6856" width="5.7109375" style="52" customWidth="1"/>
    <col min="6857" max="6857" width="5.42578125" style="52" customWidth="1"/>
    <col min="6858" max="6858" width="5.28515625" style="52" customWidth="1"/>
    <col min="6859" max="6859" width="5.42578125" style="52" customWidth="1"/>
    <col min="6860" max="6860" width="5.28515625" style="52" customWidth="1"/>
    <col min="6861" max="6861" width="5.85546875" style="52" customWidth="1"/>
    <col min="6862" max="6862" width="6.140625" style="52" customWidth="1"/>
    <col min="6863" max="7002" width="9.140625" style="52"/>
    <col min="7003" max="7003" width="18.5703125" style="52" customWidth="1"/>
    <col min="7004" max="7004" width="3.5703125" style="52" customWidth="1"/>
    <col min="7005" max="7005" width="3" style="52" customWidth="1"/>
    <col min="7006" max="7006" width="8.140625" style="52" customWidth="1"/>
    <col min="7007" max="7012" width="0" style="52" hidden="1" customWidth="1"/>
    <col min="7013" max="7013" width="7.5703125" style="52" customWidth="1"/>
    <col min="7014" max="7034" width="0" style="52" hidden="1" customWidth="1"/>
    <col min="7035" max="7035" width="7.85546875" style="52" customWidth="1"/>
    <col min="7036" max="7052" width="0" style="52" hidden="1" customWidth="1"/>
    <col min="7053" max="7053" width="7.5703125" style="52" customWidth="1"/>
    <col min="7054" max="7073" width="0" style="52" hidden="1" customWidth="1"/>
    <col min="7074" max="7074" width="7.5703125" style="52" customWidth="1"/>
    <col min="7075" max="7093" width="0" style="52" hidden="1" customWidth="1"/>
    <col min="7094" max="7094" width="8.28515625" style="52" customWidth="1"/>
    <col min="7095" max="7105" width="0" style="52" hidden="1" customWidth="1"/>
    <col min="7106" max="7108" width="8.140625" style="52" customWidth="1"/>
    <col min="7109" max="7109" width="7.42578125" style="52" customWidth="1"/>
    <col min="7110" max="7110" width="5.7109375" style="52" customWidth="1"/>
    <col min="7111" max="7111" width="6.42578125" style="52" customWidth="1"/>
    <col min="7112" max="7112" width="5.7109375" style="52" customWidth="1"/>
    <col min="7113" max="7113" width="5.42578125" style="52" customWidth="1"/>
    <col min="7114" max="7114" width="5.28515625" style="52" customWidth="1"/>
    <col min="7115" max="7115" width="5.42578125" style="52" customWidth="1"/>
    <col min="7116" max="7116" width="5.28515625" style="52" customWidth="1"/>
    <col min="7117" max="7117" width="5.85546875" style="52" customWidth="1"/>
    <col min="7118" max="7118" width="6.140625" style="52" customWidth="1"/>
    <col min="7119" max="7258" width="9.140625" style="52"/>
    <col min="7259" max="7259" width="18.5703125" style="52" customWidth="1"/>
    <col min="7260" max="7260" width="3.5703125" style="52" customWidth="1"/>
    <col min="7261" max="7261" width="3" style="52" customWidth="1"/>
    <col min="7262" max="7262" width="8.140625" style="52" customWidth="1"/>
    <col min="7263" max="7268" width="0" style="52" hidden="1" customWidth="1"/>
    <col min="7269" max="7269" width="7.5703125" style="52" customWidth="1"/>
    <col min="7270" max="7290" width="0" style="52" hidden="1" customWidth="1"/>
    <col min="7291" max="7291" width="7.85546875" style="52" customWidth="1"/>
    <col min="7292" max="7308" width="0" style="52" hidden="1" customWidth="1"/>
    <col min="7309" max="7309" width="7.5703125" style="52" customWidth="1"/>
    <col min="7310" max="7329" width="0" style="52" hidden="1" customWidth="1"/>
    <col min="7330" max="7330" width="7.5703125" style="52" customWidth="1"/>
    <col min="7331" max="7349" width="0" style="52" hidden="1" customWidth="1"/>
    <col min="7350" max="7350" width="8.28515625" style="52" customWidth="1"/>
    <col min="7351" max="7361" width="0" style="52" hidden="1" customWidth="1"/>
    <col min="7362" max="7364" width="8.140625" style="52" customWidth="1"/>
    <col min="7365" max="7365" width="7.42578125" style="52" customWidth="1"/>
    <col min="7366" max="7366" width="5.7109375" style="52" customWidth="1"/>
    <col min="7367" max="7367" width="6.42578125" style="52" customWidth="1"/>
    <col min="7368" max="7368" width="5.7109375" style="52" customWidth="1"/>
    <col min="7369" max="7369" width="5.42578125" style="52" customWidth="1"/>
    <col min="7370" max="7370" width="5.28515625" style="52" customWidth="1"/>
    <col min="7371" max="7371" width="5.42578125" style="52" customWidth="1"/>
    <col min="7372" max="7372" width="5.28515625" style="52" customWidth="1"/>
    <col min="7373" max="7373" width="5.85546875" style="52" customWidth="1"/>
    <col min="7374" max="7374" width="6.140625" style="52" customWidth="1"/>
    <col min="7375" max="7514" width="9.140625" style="52"/>
    <col min="7515" max="7515" width="18.5703125" style="52" customWidth="1"/>
    <col min="7516" max="7516" width="3.5703125" style="52" customWidth="1"/>
    <col min="7517" max="7517" width="3" style="52" customWidth="1"/>
    <col min="7518" max="7518" width="8.140625" style="52" customWidth="1"/>
    <col min="7519" max="7524" width="0" style="52" hidden="1" customWidth="1"/>
    <col min="7525" max="7525" width="7.5703125" style="52" customWidth="1"/>
    <col min="7526" max="7546" width="0" style="52" hidden="1" customWidth="1"/>
    <col min="7547" max="7547" width="7.85546875" style="52" customWidth="1"/>
    <col min="7548" max="7564" width="0" style="52" hidden="1" customWidth="1"/>
    <col min="7565" max="7565" width="7.5703125" style="52" customWidth="1"/>
    <col min="7566" max="7585" width="0" style="52" hidden="1" customWidth="1"/>
    <col min="7586" max="7586" width="7.5703125" style="52" customWidth="1"/>
    <col min="7587" max="7605" width="0" style="52" hidden="1" customWidth="1"/>
    <col min="7606" max="7606" width="8.28515625" style="52" customWidth="1"/>
    <col min="7607" max="7617" width="0" style="52" hidden="1" customWidth="1"/>
    <col min="7618" max="7620" width="8.140625" style="52" customWidth="1"/>
    <col min="7621" max="7621" width="7.42578125" style="52" customWidth="1"/>
    <col min="7622" max="7622" width="5.7109375" style="52" customWidth="1"/>
    <col min="7623" max="7623" width="6.42578125" style="52" customWidth="1"/>
    <col min="7624" max="7624" width="5.7109375" style="52" customWidth="1"/>
    <col min="7625" max="7625" width="5.42578125" style="52" customWidth="1"/>
    <col min="7626" max="7626" width="5.28515625" style="52" customWidth="1"/>
    <col min="7627" max="7627" width="5.42578125" style="52" customWidth="1"/>
    <col min="7628" max="7628" width="5.28515625" style="52" customWidth="1"/>
    <col min="7629" max="7629" width="5.85546875" style="52" customWidth="1"/>
    <col min="7630" max="7630" width="6.140625" style="52" customWidth="1"/>
    <col min="7631" max="7770" width="9.140625" style="52"/>
    <col min="7771" max="7771" width="18.5703125" style="52" customWidth="1"/>
    <col min="7772" max="7772" width="3.5703125" style="52" customWidth="1"/>
    <col min="7773" max="7773" width="3" style="52" customWidth="1"/>
    <col min="7774" max="7774" width="8.140625" style="52" customWidth="1"/>
    <col min="7775" max="7780" width="0" style="52" hidden="1" customWidth="1"/>
    <col min="7781" max="7781" width="7.5703125" style="52" customWidth="1"/>
    <col min="7782" max="7802" width="0" style="52" hidden="1" customWidth="1"/>
    <col min="7803" max="7803" width="7.85546875" style="52" customWidth="1"/>
    <col min="7804" max="7820" width="0" style="52" hidden="1" customWidth="1"/>
    <col min="7821" max="7821" width="7.5703125" style="52" customWidth="1"/>
    <col min="7822" max="7841" width="0" style="52" hidden="1" customWidth="1"/>
    <col min="7842" max="7842" width="7.5703125" style="52" customWidth="1"/>
    <col min="7843" max="7861" width="0" style="52" hidden="1" customWidth="1"/>
    <col min="7862" max="7862" width="8.28515625" style="52" customWidth="1"/>
    <col min="7863" max="7873" width="0" style="52" hidden="1" customWidth="1"/>
    <col min="7874" max="7876" width="8.140625" style="52" customWidth="1"/>
    <col min="7877" max="7877" width="7.42578125" style="52" customWidth="1"/>
    <col min="7878" max="7878" width="5.7109375" style="52" customWidth="1"/>
    <col min="7879" max="7879" width="6.42578125" style="52" customWidth="1"/>
    <col min="7880" max="7880" width="5.7109375" style="52" customWidth="1"/>
    <col min="7881" max="7881" width="5.42578125" style="52" customWidth="1"/>
    <col min="7882" max="7882" width="5.28515625" style="52" customWidth="1"/>
    <col min="7883" max="7883" width="5.42578125" style="52" customWidth="1"/>
    <col min="7884" max="7884" width="5.28515625" style="52" customWidth="1"/>
    <col min="7885" max="7885" width="5.85546875" style="52" customWidth="1"/>
    <col min="7886" max="7886" width="6.140625" style="52" customWidth="1"/>
    <col min="7887" max="8026" width="9.140625" style="52"/>
    <col min="8027" max="8027" width="18.5703125" style="52" customWidth="1"/>
    <col min="8028" max="8028" width="3.5703125" style="52" customWidth="1"/>
    <col min="8029" max="8029" width="3" style="52" customWidth="1"/>
    <col min="8030" max="8030" width="8.140625" style="52" customWidth="1"/>
    <col min="8031" max="8036" width="0" style="52" hidden="1" customWidth="1"/>
    <col min="8037" max="8037" width="7.5703125" style="52" customWidth="1"/>
    <col min="8038" max="8058" width="0" style="52" hidden="1" customWidth="1"/>
    <col min="8059" max="8059" width="7.85546875" style="52" customWidth="1"/>
    <col min="8060" max="8076" width="0" style="52" hidden="1" customWidth="1"/>
    <col min="8077" max="8077" width="7.5703125" style="52" customWidth="1"/>
    <col min="8078" max="8097" width="0" style="52" hidden="1" customWidth="1"/>
    <col min="8098" max="8098" width="7.5703125" style="52" customWidth="1"/>
    <col min="8099" max="8117" width="0" style="52" hidden="1" customWidth="1"/>
    <col min="8118" max="8118" width="8.28515625" style="52" customWidth="1"/>
    <col min="8119" max="8129" width="0" style="52" hidden="1" customWidth="1"/>
    <col min="8130" max="8132" width="8.140625" style="52" customWidth="1"/>
    <col min="8133" max="8133" width="7.42578125" style="52" customWidth="1"/>
    <col min="8134" max="8134" width="5.7109375" style="52" customWidth="1"/>
    <col min="8135" max="8135" width="6.42578125" style="52" customWidth="1"/>
    <col min="8136" max="8136" width="5.7109375" style="52" customWidth="1"/>
    <col min="8137" max="8137" width="5.42578125" style="52" customWidth="1"/>
    <col min="8138" max="8138" width="5.28515625" style="52" customWidth="1"/>
    <col min="8139" max="8139" width="5.42578125" style="52" customWidth="1"/>
    <col min="8140" max="8140" width="5.28515625" style="52" customWidth="1"/>
    <col min="8141" max="8141" width="5.85546875" style="52" customWidth="1"/>
    <col min="8142" max="8142" width="6.140625" style="52" customWidth="1"/>
    <col min="8143" max="8282" width="9.140625" style="52"/>
    <col min="8283" max="8283" width="18.5703125" style="52" customWidth="1"/>
    <col min="8284" max="8284" width="3.5703125" style="52" customWidth="1"/>
    <col min="8285" max="8285" width="3" style="52" customWidth="1"/>
    <col min="8286" max="8286" width="8.140625" style="52" customWidth="1"/>
    <col min="8287" max="8292" width="0" style="52" hidden="1" customWidth="1"/>
    <col min="8293" max="8293" width="7.5703125" style="52" customWidth="1"/>
    <col min="8294" max="8314" width="0" style="52" hidden="1" customWidth="1"/>
    <col min="8315" max="8315" width="7.85546875" style="52" customWidth="1"/>
    <col min="8316" max="8332" width="0" style="52" hidden="1" customWidth="1"/>
    <col min="8333" max="8333" width="7.5703125" style="52" customWidth="1"/>
    <col min="8334" max="8353" width="0" style="52" hidden="1" customWidth="1"/>
    <col min="8354" max="8354" width="7.5703125" style="52" customWidth="1"/>
    <col min="8355" max="8373" width="0" style="52" hidden="1" customWidth="1"/>
    <col min="8374" max="8374" width="8.28515625" style="52" customWidth="1"/>
    <col min="8375" max="8385" width="0" style="52" hidden="1" customWidth="1"/>
    <col min="8386" max="8388" width="8.140625" style="52" customWidth="1"/>
    <col min="8389" max="8389" width="7.42578125" style="52" customWidth="1"/>
    <col min="8390" max="8390" width="5.7109375" style="52" customWidth="1"/>
    <col min="8391" max="8391" width="6.42578125" style="52" customWidth="1"/>
    <col min="8392" max="8392" width="5.7109375" style="52" customWidth="1"/>
    <col min="8393" max="8393" width="5.42578125" style="52" customWidth="1"/>
    <col min="8394" max="8394" width="5.28515625" style="52" customWidth="1"/>
    <col min="8395" max="8395" width="5.42578125" style="52" customWidth="1"/>
    <col min="8396" max="8396" width="5.28515625" style="52" customWidth="1"/>
    <col min="8397" max="8397" width="5.85546875" style="52" customWidth="1"/>
    <col min="8398" max="8398" width="6.140625" style="52" customWidth="1"/>
    <col min="8399" max="8538" width="9.140625" style="52"/>
    <col min="8539" max="8539" width="18.5703125" style="52" customWidth="1"/>
    <col min="8540" max="8540" width="3.5703125" style="52" customWidth="1"/>
    <col min="8541" max="8541" width="3" style="52" customWidth="1"/>
    <col min="8542" max="8542" width="8.140625" style="52" customWidth="1"/>
    <col min="8543" max="8548" width="0" style="52" hidden="1" customWidth="1"/>
    <col min="8549" max="8549" width="7.5703125" style="52" customWidth="1"/>
    <col min="8550" max="8570" width="0" style="52" hidden="1" customWidth="1"/>
    <col min="8571" max="8571" width="7.85546875" style="52" customWidth="1"/>
    <col min="8572" max="8588" width="0" style="52" hidden="1" customWidth="1"/>
    <col min="8589" max="8589" width="7.5703125" style="52" customWidth="1"/>
    <col min="8590" max="8609" width="0" style="52" hidden="1" customWidth="1"/>
    <col min="8610" max="8610" width="7.5703125" style="52" customWidth="1"/>
    <col min="8611" max="8629" width="0" style="52" hidden="1" customWidth="1"/>
    <col min="8630" max="8630" width="8.28515625" style="52" customWidth="1"/>
    <col min="8631" max="8641" width="0" style="52" hidden="1" customWidth="1"/>
    <col min="8642" max="8644" width="8.140625" style="52" customWidth="1"/>
    <col min="8645" max="8645" width="7.42578125" style="52" customWidth="1"/>
    <col min="8646" max="8646" width="5.7109375" style="52" customWidth="1"/>
    <col min="8647" max="8647" width="6.42578125" style="52" customWidth="1"/>
    <col min="8648" max="8648" width="5.7109375" style="52" customWidth="1"/>
    <col min="8649" max="8649" width="5.42578125" style="52" customWidth="1"/>
    <col min="8650" max="8650" width="5.28515625" style="52" customWidth="1"/>
    <col min="8651" max="8651" width="5.42578125" style="52" customWidth="1"/>
    <col min="8652" max="8652" width="5.28515625" style="52" customWidth="1"/>
    <col min="8653" max="8653" width="5.85546875" style="52" customWidth="1"/>
    <col min="8654" max="8654" width="6.140625" style="52" customWidth="1"/>
    <col min="8655" max="8794" width="9.140625" style="52"/>
    <col min="8795" max="8795" width="18.5703125" style="52" customWidth="1"/>
    <col min="8796" max="8796" width="3.5703125" style="52" customWidth="1"/>
    <col min="8797" max="8797" width="3" style="52" customWidth="1"/>
    <col min="8798" max="8798" width="8.140625" style="52" customWidth="1"/>
    <col min="8799" max="8804" width="0" style="52" hidden="1" customWidth="1"/>
    <col min="8805" max="8805" width="7.5703125" style="52" customWidth="1"/>
    <col min="8806" max="8826" width="0" style="52" hidden="1" customWidth="1"/>
    <col min="8827" max="8827" width="7.85546875" style="52" customWidth="1"/>
    <col min="8828" max="8844" width="0" style="52" hidden="1" customWidth="1"/>
    <col min="8845" max="8845" width="7.5703125" style="52" customWidth="1"/>
    <col min="8846" max="8865" width="0" style="52" hidden="1" customWidth="1"/>
    <col min="8866" max="8866" width="7.5703125" style="52" customWidth="1"/>
    <col min="8867" max="8885" width="0" style="52" hidden="1" customWidth="1"/>
    <col min="8886" max="8886" width="8.28515625" style="52" customWidth="1"/>
    <col min="8887" max="8897" width="0" style="52" hidden="1" customWidth="1"/>
    <col min="8898" max="8900" width="8.140625" style="52" customWidth="1"/>
    <col min="8901" max="8901" width="7.42578125" style="52" customWidth="1"/>
    <col min="8902" max="8902" width="5.7109375" style="52" customWidth="1"/>
    <col min="8903" max="8903" width="6.42578125" style="52" customWidth="1"/>
    <col min="8904" max="8904" width="5.7109375" style="52" customWidth="1"/>
    <col min="8905" max="8905" width="5.42578125" style="52" customWidth="1"/>
    <col min="8906" max="8906" width="5.28515625" style="52" customWidth="1"/>
    <col min="8907" max="8907" width="5.42578125" style="52" customWidth="1"/>
    <col min="8908" max="8908" width="5.28515625" style="52" customWidth="1"/>
    <col min="8909" max="8909" width="5.85546875" style="52" customWidth="1"/>
    <col min="8910" max="8910" width="6.140625" style="52" customWidth="1"/>
    <col min="8911" max="9050" width="9.140625" style="52"/>
    <col min="9051" max="9051" width="18.5703125" style="52" customWidth="1"/>
    <col min="9052" max="9052" width="3.5703125" style="52" customWidth="1"/>
    <col min="9053" max="9053" width="3" style="52" customWidth="1"/>
    <col min="9054" max="9054" width="8.140625" style="52" customWidth="1"/>
    <col min="9055" max="9060" width="0" style="52" hidden="1" customWidth="1"/>
    <col min="9061" max="9061" width="7.5703125" style="52" customWidth="1"/>
    <col min="9062" max="9082" width="0" style="52" hidden="1" customWidth="1"/>
    <col min="9083" max="9083" width="7.85546875" style="52" customWidth="1"/>
    <col min="9084" max="9100" width="0" style="52" hidden="1" customWidth="1"/>
    <col min="9101" max="9101" width="7.5703125" style="52" customWidth="1"/>
    <col min="9102" max="9121" width="0" style="52" hidden="1" customWidth="1"/>
    <col min="9122" max="9122" width="7.5703125" style="52" customWidth="1"/>
    <col min="9123" max="9141" width="0" style="52" hidden="1" customWidth="1"/>
    <col min="9142" max="9142" width="8.28515625" style="52" customWidth="1"/>
    <col min="9143" max="9153" width="0" style="52" hidden="1" customWidth="1"/>
    <col min="9154" max="9156" width="8.140625" style="52" customWidth="1"/>
    <col min="9157" max="9157" width="7.42578125" style="52" customWidth="1"/>
    <col min="9158" max="9158" width="5.7109375" style="52" customWidth="1"/>
    <col min="9159" max="9159" width="6.42578125" style="52" customWidth="1"/>
    <col min="9160" max="9160" width="5.7109375" style="52" customWidth="1"/>
    <col min="9161" max="9161" width="5.42578125" style="52" customWidth="1"/>
    <col min="9162" max="9162" width="5.28515625" style="52" customWidth="1"/>
    <col min="9163" max="9163" width="5.42578125" style="52" customWidth="1"/>
    <col min="9164" max="9164" width="5.28515625" style="52" customWidth="1"/>
    <col min="9165" max="9165" width="5.85546875" style="52" customWidth="1"/>
    <col min="9166" max="9166" width="6.140625" style="52" customWidth="1"/>
    <col min="9167" max="9306" width="9.140625" style="52"/>
    <col min="9307" max="9307" width="18.5703125" style="52" customWidth="1"/>
    <col min="9308" max="9308" width="3.5703125" style="52" customWidth="1"/>
    <col min="9309" max="9309" width="3" style="52" customWidth="1"/>
    <col min="9310" max="9310" width="8.140625" style="52" customWidth="1"/>
    <col min="9311" max="9316" width="0" style="52" hidden="1" customWidth="1"/>
    <col min="9317" max="9317" width="7.5703125" style="52" customWidth="1"/>
    <col min="9318" max="9338" width="0" style="52" hidden="1" customWidth="1"/>
    <col min="9339" max="9339" width="7.85546875" style="52" customWidth="1"/>
    <col min="9340" max="9356" width="0" style="52" hidden="1" customWidth="1"/>
    <col min="9357" max="9357" width="7.5703125" style="52" customWidth="1"/>
    <col min="9358" max="9377" width="0" style="52" hidden="1" customWidth="1"/>
    <col min="9378" max="9378" width="7.5703125" style="52" customWidth="1"/>
    <col min="9379" max="9397" width="0" style="52" hidden="1" customWidth="1"/>
    <col min="9398" max="9398" width="8.28515625" style="52" customWidth="1"/>
    <col min="9399" max="9409" width="0" style="52" hidden="1" customWidth="1"/>
    <col min="9410" max="9412" width="8.140625" style="52" customWidth="1"/>
    <col min="9413" max="9413" width="7.42578125" style="52" customWidth="1"/>
    <col min="9414" max="9414" width="5.7109375" style="52" customWidth="1"/>
    <col min="9415" max="9415" width="6.42578125" style="52" customWidth="1"/>
    <col min="9416" max="9416" width="5.7109375" style="52" customWidth="1"/>
    <col min="9417" max="9417" width="5.42578125" style="52" customWidth="1"/>
    <col min="9418" max="9418" width="5.28515625" style="52" customWidth="1"/>
    <col min="9419" max="9419" width="5.42578125" style="52" customWidth="1"/>
    <col min="9420" max="9420" width="5.28515625" style="52" customWidth="1"/>
    <col min="9421" max="9421" width="5.85546875" style="52" customWidth="1"/>
    <col min="9422" max="9422" width="6.140625" style="52" customWidth="1"/>
    <col min="9423" max="9562" width="9.140625" style="52"/>
    <col min="9563" max="9563" width="18.5703125" style="52" customWidth="1"/>
    <col min="9564" max="9564" width="3.5703125" style="52" customWidth="1"/>
    <col min="9565" max="9565" width="3" style="52" customWidth="1"/>
    <col min="9566" max="9566" width="8.140625" style="52" customWidth="1"/>
    <col min="9567" max="9572" width="0" style="52" hidden="1" customWidth="1"/>
    <col min="9573" max="9573" width="7.5703125" style="52" customWidth="1"/>
    <col min="9574" max="9594" width="0" style="52" hidden="1" customWidth="1"/>
    <col min="9595" max="9595" width="7.85546875" style="52" customWidth="1"/>
    <col min="9596" max="9612" width="0" style="52" hidden="1" customWidth="1"/>
    <col min="9613" max="9613" width="7.5703125" style="52" customWidth="1"/>
    <col min="9614" max="9633" width="0" style="52" hidden="1" customWidth="1"/>
    <col min="9634" max="9634" width="7.5703125" style="52" customWidth="1"/>
    <col min="9635" max="9653" width="0" style="52" hidden="1" customWidth="1"/>
    <col min="9654" max="9654" width="8.28515625" style="52" customWidth="1"/>
    <col min="9655" max="9665" width="0" style="52" hidden="1" customWidth="1"/>
    <col min="9666" max="9668" width="8.140625" style="52" customWidth="1"/>
    <col min="9669" max="9669" width="7.42578125" style="52" customWidth="1"/>
    <col min="9670" max="9670" width="5.7109375" style="52" customWidth="1"/>
    <col min="9671" max="9671" width="6.42578125" style="52" customWidth="1"/>
    <col min="9672" max="9672" width="5.7109375" style="52" customWidth="1"/>
    <col min="9673" max="9673" width="5.42578125" style="52" customWidth="1"/>
    <col min="9674" max="9674" width="5.28515625" style="52" customWidth="1"/>
    <col min="9675" max="9675" width="5.42578125" style="52" customWidth="1"/>
    <col min="9676" max="9676" width="5.28515625" style="52" customWidth="1"/>
    <col min="9677" max="9677" width="5.85546875" style="52" customWidth="1"/>
    <col min="9678" max="9678" width="6.140625" style="52" customWidth="1"/>
    <col min="9679" max="9818" width="9.140625" style="52"/>
    <col min="9819" max="9819" width="18.5703125" style="52" customWidth="1"/>
    <col min="9820" max="9820" width="3.5703125" style="52" customWidth="1"/>
    <col min="9821" max="9821" width="3" style="52" customWidth="1"/>
    <col min="9822" max="9822" width="8.140625" style="52" customWidth="1"/>
    <col min="9823" max="9828" width="0" style="52" hidden="1" customWidth="1"/>
    <col min="9829" max="9829" width="7.5703125" style="52" customWidth="1"/>
    <col min="9830" max="9850" width="0" style="52" hidden="1" customWidth="1"/>
    <col min="9851" max="9851" width="7.85546875" style="52" customWidth="1"/>
    <col min="9852" max="9868" width="0" style="52" hidden="1" customWidth="1"/>
    <col min="9869" max="9869" width="7.5703125" style="52" customWidth="1"/>
    <col min="9870" max="9889" width="0" style="52" hidden="1" customWidth="1"/>
    <col min="9890" max="9890" width="7.5703125" style="52" customWidth="1"/>
    <col min="9891" max="9909" width="0" style="52" hidden="1" customWidth="1"/>
    <col min="9910" max="9910" width="8.28515625" style="52" customWidth="1"/>
    <col min="9911" max="9921" width="0" style="52" hidden="1" customWidth="1"/>
    <col min="9922" max="9924" width="8.140625" style="52" customWidth="1"/>
    <col min="9925" max="9925" width="7.42578125" style="52" customWidth="1"/>
    <col min="9926" max="9926" width="5.7109375" style="52" customWidth="1"/>
    <col min="9927" max="9927" width="6.42578125" style="52" customWidth="1"/>
    <col min="9928" max="9928" width="5.7109375" style="52" customWidth="1"/>
    <col min="9929" max="9929" width="5.42578125" style="52" customWidth="1"/>
    <col min="9930" max="9930" width="5.28515625" style="52" customWidth="1"/>
    <col min="9931" max="9931" width="5.42578125" style="52" customWidth="1"/>
    <col min="9932" max="9932" width="5.28515625" style="52" customWidth="1"/>
    <col min="9933" max="9933" width="5.85546875" style="52" customWidth="1"/>
    <col min="9934" max="9934" width="6.140625" style="52" customWidth="1"/>
    <col min="9935" max="10074" width="9.140625" style="52"/>
    <col min="10075" max="10075" width="18.5703125" style="52" customWidth="1"/>
    <col min="10076" max="10076" width="3.5703125" style="52" customWidth="1"/>
    <col min="10077" max="10077" width="3" style="52" customWidth="1"/>
    <col min="10078" max="10078" width="8.140625" style="52" customWidth="1"/>
    <col min="10079" max="10084" width="0" style="52" hidden="1" customWidth="1"/>
    <col min="10085" max="10085" width="7.5703125" style="52" customWidth="1"/>
    <col min="10086" max="10106" width="0" style="52" hidden="1" customWidth="1"/>
    <col min="10107" max="10107" width="7.85546875" style="52" customWidth="1"/>
    <col min="10108" max="10124" width="0" style="52" hidden="1" customWidth="1"/>
    <col min="10125" max="10125" width="7.5703125" style="52" customWidth="1"/>
    <col min="10126" max="10145" width="0" style="52" hidden="1" customWidth="1"/>
    <col min="10146" max="10146" width="7.5703125" style="52" customWidth="1"/>
    <col min="10147" max="10165" width="0" style="52" hidden="1" customWidth="1"/>
    <col min="10166" max="10166" width="8.28515625" style="52" customWidth="1"/>
    <col min="10167" max="10177" width="0" style="52" hidden="1" customWidth="1"/>
    <col min="10178" max="10180" width="8.140625" style="52" customWidth="1"/>
    <col min="10181" max="10181" width="7.42578125" style="52" customWidth="1"/>
    <col min="10182" max="10182" width="5.7109375" style="52" customWidth="1"/>
    <col min="10183" max="10183" width="6.42578125" style="52" customWidth="1"/>
    <col min="10184" max="10184" width="5.7109375" style="52" customWidth="1"/>
    <col min="10185" max="10185" width="5.42578125" style="52" customWidth="1"/>
    <col min="10186" max="10186" width="5.28515625" style="52" customWidth="1"/>
    <col min="10187" max="10187" width="5.42578125" style="52" customWidth="1"/>
    <col min="10188" max="10188" width="5.28515625" style="52" customWidth="1"/>
    <col min="10189" max="10189" width="5.85546875" style="52" customWidth="1"/>
    <col min="10190" max="10190" width="6.140625" style="52" customWidth="1"/>
    <col min="10191" max="10330" width="9.140625" style="52"/>
    <col min="10331" max="10331" width="18.5703125" style="52" customWidth="1"/>
    <col min="10332" max="10332" width="3.5703125" style="52" customWidth="1"/>
    <col min="10333" max="10333" width="3" style="52" customWidth="1"/>
    <col min="10334" max="10334" width="8.140625" style="52" customWidth="1"/>
    <col min="10335" max="10340" width="0" style="52" hidden="1" customWidth="1"/>
    <col min="10341" max="10341" width="7.5703125" style="52" customWidth="1"/>
    <col min="10342" max="10362" width="0" style="52" hidden="1" customWidth="1"/>
    <col min="10363" max="10363" width="7.85546875" style="52" customWidth="1"/>
    <col min="10364" max="10380" width="0" style="52" hidden="1" customWidth="1"/>
    <col min="10381" max="10381" width="7.5703125" style="52" customWidth="1"/>
    <col min="10382" max="10401" width="0" style="52" hidden="1" customWidth="1"/>
    <col min="10402" max="10402" width="7.5703125" style="52" customWidth="1"/>
    <col min="10403" max="10421" width="0" style="52" hidden="1" customWidth="1"/>
    <col min="10422" max="10422" width="8.28515625" style="52" customWidth="1"/>
    <col min="10423" max="10433" width="0" style="52" hidden="1" customWidth="1"/>
    <col min="10434" max="10436" width="8.140625" style="52" customWidth="1"/>
    <col min="10437" max="10437" width="7.42578125" style="52" customWidth="1"/>
    <col min="10438" max="10438" width="5.7109375" style="52" customWidth="1"/>
    <col min="10439" max="10439" width="6.42578125" style="52" customWidth="1"/>
    <col min="10440" max="10440" width="5.7109375" style="52" customWidth="1"/>
    <col min="10441" max="10441" width="5.42578125" style="52" customWidth="1"/>
    <col min="10442" max="10442" width="5.28515625" style="52" customWidth="1"/>
    <col min="10443" max="10443" width="5.42578125" style="52" customWidth="1"/>
    <col min="10444" max="10444" width="5.28515625" style="52" customWidth="1"/>
    <col min="10445" max="10445" width="5.85546875" style="52" customWidth="1"/>
    <col min="10446" max="10446" width="6.140625" style="52" customWidth="1"/>
    <col min="10447" max="10586" width="9.140625" style="52"/>
    <col min="10587" max="10587" width="18.5703125" style="52" customWidth="1"/>
    <col min="10588" max="10588" width="3.5703125" style="52" customWidth="1"/>
    <col min="10589" max="10589" width="3" style="52" customWidth="1"/>
    <col min="10590" max="10590" width="8.140625" style="52" customWidth="1"/>
    <col min="10591" max="10596" width="0" style="52" hidden="1" customWidth="1"/>
    <col min="10597" max="10597" width="7.5703125" style="52" customWidth="1"/>
    <col min="10598" max="10618" width="0" style="52" hidden="1" customWidth="1"/>
    <col min="10619" max="10619" width="7.85546875" style="52" customWidth="1"/>
    <col min="10620" max="10636" width="0" style="52" hidden="1" customWidth="1"/>
    <col min="10637" max="10637" width="7.5703125" style="52" customWidth="1"/>
    <col min="10638" max="10657" width="0" style="52" hidden="1" customWidth="1"/>
    <col min="10658" max="10658" width="7.5703125" style="52" customWidth="1"/>
    <col min="10659" max="10677" width="0" style="52" hidden="1" customWidth="1"/>
    <col min="10678" max="10678" width="8.28515625" style="52" customWidth="1"/>
    <col min="10679" max="10689" width="0" style="52" hidden="1" customWidth="1"/>
    <col min="10690" max="10692" width="8.140625" style="52" customWidth="1"/>
    <col min="10693" max="10693" width="7.42578125" style="52" customWidth="1"/>
    <col min="10694" max="10694" width="5.7109375" style="52" customWidth="1"/>
    <col min="10695" max="10695" width="6.42578125" style="52" customWidth="1"/>
    <col min="10696" max="10696" width="5.7109375" style="52" customWidth="1"/>
    <col min="10697" max="10697" width="5.42578125" style="52" customWidth="1"/>
    <col min="10698" max="10698" width="5.28515625" style="52" customWidth="1"/>
    <col min="10699" max="10699" width="5.42578125" style="52" customWidth="1"/>
    <col min="10700" max="10700" width="5.28515625" style="52" customWidth="1"/>
    <col min="10701" max="10701" width="5.85546875" style="52" customWidth="1"/>
    <col min="10702" max="10702" width="6.140625" style="52" customWidth="1"/>
    <col min="10703" max="10842" width="9.140625" style="52"/>
    <col min="10843" max="10843" width="18.5703125" style="52" customWidth="1"/>
    <col min="10844" max="10844" width="3.5703125" style="52" customWidth="1"/>
    <col min="10845" max="10845" width="3" style="52" customWidth="1"/>
    <col min="10846" max="10846" width="8.140625" style="52" customWidth="1"/>
    <col min="10847" max="10852" width="0" style="52" hidden="1" customWidth="1"/>
    <col min="10853" max="10853" width="7.5703125" style="52" customWidth="1"/>
    <col min="10854" max="10874" width="0" style="52" hidden="1" customWidth="1"/>
    <col min="10875" max="10875" width="7.85546875" style="52" customWidth="1"/>
    <col min="10876" max="10892" width="0" style="52" hidden="1" customWidth="1"/>
    <col min="10893" max="10893" width="7.5703125" style="52" customWidth="1"/>
    <col min="10894" max="10913" width="0" style="52" hidden="1" customWidth="1"/>
    <col min="10914" max="10914" width="7.5703125" style="52" customWidth="1"/>
    <col min="10915" max="10933" width="0" style="52" hidden="1" customWidth="1"/>
    <col min="10934" max="10934" width="8.28515625" style="52" customWidth="1"/>
    <col min="10935" max="10945" width="0" style="52" hidden="1" customWidth="1"/>
    <col min="10946" max="10948" width="8.140625" style="52" customWidth="1"/>
    <col min="10949" max="10949" width="7.42578125" style="52" customWidth="1"/>
    <col min="10950" max="10950" width="5.7109375" style="52" customWidth="1"/>
    <col min="10951" max="10951" width="6.42578125" style="52" customWidth="1"/>
    <col min="10952" max="10952" width="5.7109375" style="52" customWidth="1"/>
    <col min="10953" max="10953" width="5.42578125" style="52" customWidth="1"/>
    <col min="10954" max="10954" width="5.28515625" style="52" customWidth="1"/>
    <col min="10955" max="10955" width="5.42578125" style="52" customWidth="1"/>
    <col min="10956" max="10956" width="5.28515625" style="52" customWidth="1"/>
    <col min="10957" max="10957" width="5.85546875" style="52" customWidth="1"/>
    <col min="10958" max="10958" width="6.140625" style="52" customWidth="1"/>
    <col min="10959" max="11098" width="9.140625" style="52"/>
    <col min="11099" max="11099" width="18.5703125" style="52" customWidth="1"/>
    <col min="11100" max="11100" width="3.5703125" style="52" customWidth="1"/>
    <col min="11101" max="11101" width="3" style="52" customWidth="1"/>
    <col min="11102" max="11102" width="8.140625" style="52" customWidth="1"/>
    <col min="11103" max="11108" width="0" style="52" hidden="1" customWidth="1"/>
    <col min="11109" max="11109" width="7.5703125" style="52" customWidth="1"/>
    <col min="11110" max="11130" width="0" style="52" hidden="1" customWidth="1"/>
    <col min="11131" max="11131" width="7.85546875" style="52" customWidth="1"/>
    <col min="11132" max="11148" width="0" style="52" hidden="1" customWidth="1"/>
    <col min="11149" max="11149" width="7.5703125" style="52" customWidth="1"/>
    <col min="11150" max="11169" width="0" style="52" hidden="1" customWidth="1"/>
    <col min="11170" max="11170" width="7.5703125" style="52" customWidth="1"/>
    <col min="11171" max="11189" width="0" style="52" hidden="1" customWidth="1"/>
    <col min="11190" max="11190" width="8.28515625" style="52" customWidth="1"/>
    <col min="11191" max="11201" width="0" style="52" hidden="1" customWidth="1"/>
    <col min="11202" max="11204" width="8.140625" style="52" customWidth="1"/>
    <col min="11205" max="11205" width="7.42578125" style="52" customWidth="1"/>
    <col min="11206" max="11206" width="5.7109375" style="52" customWidth="1"/>
    <col min="11207" max="11207" width="6.42578125" style="52" customWidth="1"/>
    <col min="11208" max="11208" width="5.7109375" style="52" customWidth="1"/>
    <col min="11209" max="11209" width="5.42578125" style="52" customWidth="1"/>
    <col min="11210" max="11210" width="5.28515625" style="52" customWidth="1"/>
    <col min="11211" max="11211" width="5.42578125" style="52" customWidth="1"/>
    <col min="11212" max="11212" width="5.28515625" style="52" customWidth="1"/>
    <col min="11213" max="11213" width="5.85546875" style="52" customWidth="1"/>
    <col min="11214" max="11214" width="6.140625" style="52" customWidth="1"/>
    <col min="11215" max="11354" width="9.140625" style="52"/>
    <col min="11355" max="11355" width="18.5703125" style="52" customWidth="1"/>
    <col min="11356" max="11356" width="3.5703125" style="52" customWidth="1"/>
    <col min="11357" max="11357" width="3" style="52" customWidth="1"/>
    <col min="11358" max="11358" width="8.140625" style="52" customWidth="1"/>
    <col min="11359" max="11364" width="0" style="52" hidden="1" customWidth="1"/>
    <col min="11365" max="11365" width="7.5703125" style="52" customWidth="1"/>
    <col min="11366" max="11386" width="0" style="52" hidden="1" customWidth="1"/>
    <col min="11387" max="11387" width="7.85546875" style="52" customWidth="1"/>
    <col min="11388" max="11404" width="0" style="52" hidden="1" customWidth="1"/>
    <col min="11405" max="11405" width="7.5703125" style="52" customWidth="1"/>
    <col min="11406" max="11425" width="0" style="52" hidden="1" customWidth="1"/>
    <col min="11426" max="11426" width="7.5703125" style="52" customWidth="1"/>
    <col min="11427" max="11445" width="0" style="52" hidden="1" customWidth="1"/>
    <col min="11446" max="11446" width="8.28515625" style="52" customWidth="1"/>
    <col min="11447" max="11457" width="0" style="52" hidden="1" customWidth="1"/>
    <col min="11458" max="11460" width="8.140625" style="52" customWidth="1"/>
    <col min="11461" max="11461" width="7.42578125" style="52" customWidth="1"/>
    <col min="11462" max="11462" width="5.7109375" style="52" customWidth="1"/>
    <col min="11463" max="11463" width="6.42578125" style="52" customWidth="1"/>
    <col min="11464" max="11464" width="5.7109375" style="52" customWidth="1"/>
    <col min="11465" max="11465" width="5.42578125" style="52" customWidth="1"/>
    <col min="11466" max="11466" width="5.28515625" style="52" customWidth="1"/>
    <col min="11467" max="11467" width="5.42578125" style="52" customWidth="1"/>
    <col min="11468" max="11468" width="5.28515625" style="52" customWidth="1"/>
    <col min="11469" max="11469" width="5.85546875" style="52" customWidth="1"/>
    <col min="11470" max="11470" width="6.140625" style="52" customWidth="1"/>
    <col min="11471" max="11610" width="9.140625" style="52"/>
    <col min="11611" max="11611" width="18.5703125" style="52" customWidth="1"/>
    <col min="11612" max="11612" width="3.5703125" style="52" customWidth="1"/>
    <col min="11613" max="11613" width="3" style="52" customWidth="1"/>
    <col min="11614" max="11614" width="8.140625" style="52" customWidth="1"/>
    <col min="11615" max="11620" width="0" style="52" hidden="1" customWidth="1"/>
    <col min="11621" max="11621" width="7.5703125" style="52" customWidth="1"/>
    <col min="11622" max="11642" width="0" style="52" hidden="1" customWidth="1"/>
    <col min="11643" max="11643" width="7.85546875" style="52" customWidth="1"/>
    <col min="11644" max="11660" width="0" style="52" hidden="1" customWidth="1"/>
    <col min="11661" max="11661" width="7.5703125" style="52" customWidth="1"/>
    <col min="11662" max="11681" width="0" style="52" hidden="1" customWidth="1"/>
    <col min="11682" max="11682" width="7.5703125" style="52" customWidth="1"/>
    <col min="11683" max="11701" width="0" style="52" hidden="1" customWidth="1"/>
    <col min="11702" max="11702" width="8.28515625" style="52" customWidth="1"/>
    <col min="11703" max="11713" width="0" style="52" hidden="1" customWidth="1"/>
    <col min="11714" max="11716" width="8.140625" style="52" customWidth="1"/>
    <col min="11717" max="11717" width="7.42578125" style="52" customWidth="1"/>
    <col min="11718" max="11718" width="5.7109375" style="52" customWidth="1"/>
    <col min="11719" max="11719" width="6.42578125" style="52" customWidth="1"/>
    <col min="11720" max="11720" width="5.7109375" style="52" customWidth="1"/>
    <col min="11721" max="11721" width="5.42578125" style="52" customWidth="1"/>
    <col min="11722" max="11722" width="5.28515625" style="52" customWidth="1"/>
    <col min="11723" max="11723" width="5.42578125" style="52" customWidth="1"/>
    <col min="11724" max="11724" width="5.28515625" style="52" customWidth="1"/>
    <col min="11725" max="11725" width="5.85546875" style="52" customWidth="1"/>
    <col min="11726" max="11726" width="6.140625" style="52" customWidth="1"/>
    <col min="11727" max="11866" width="9.140625" style="52"/>
    <col min="11867" max="11867" width="18.5703125" style="52" customWidth="1"/>
    <col min="11868" max="11868" width="3.5703125" style="52" customWidth="1"/>
    <col min="11869" max="11869" width="3" style="52" customWidth="1"/>
    <col min="11870" max="11870" width="8.140625" style="52" customWidth="1"/>
    <col min="11871" max="11876" width="0" style="52" hidden="1" customWidth="1"/>
    <col min="11877" max="11877" width="7.5703125" style="52" customWidth="1"/>
    <col min="11878" max="11898" width="0" style="52" hidden="1" customWidth="1"/>
    <col min="11899" max="11899" width="7.85546875" style="52" customWidth="1"/>
    <col min="11900" max="11916" width="0" style="52" hidden="1" customWidth="1"/>
    <col min="11917" max="11917" width="7.5703125" style="52" customWidth="1"/>
    <col min="11918" max="11937" width="0" style="52" hidden="1" customWidth="1"/>
    <col min="11938" max="11938" width="7.5703125" style="52" customWidth="1"/>
    <col min="11939" max="11957" width="0" style="52" hidden="1" customWidth="1"/>
    <col min="11958" max="11958" width="8.28515625" style="52" customWidth="1"/>
    <col min="11959" max="11969" width="0" style="52" hidden="1" customWidth="1"/>
    <col min="11970" max="11972" width="8.140625" style="52" customWidth="1"/>
    <col min="11973" max="11973" width="7.42578125" style="52" customWidth="1"/>
    <col min="11974" max="11974" width="5.7109375" style="52" customWidth="1"/>
    <col min="11975" max="11975" width="6.42578125" style="52" customWidth="1"/>
    <col min="11976" max="11976" width="5.7109375" style="52" customWidth="1"/>
    <col min="11977" max="11977" width="5.42578125" style="52" customWidth="1"/>
    <col min="11978" max="11978" width="5.28515625" style="52" customWidth="1"/>
    <col min="11979" max="11979" width="5.42578125" style="52" customWidth="1"/>
    <col min="11980" max="11980" width="5.28515625" style="52" customWidth="1"/>
    <col min="11981" max="11981" width="5.85546875" style="52" customWidth="1"/>
    <col min="11982" max="11982" width="6.140625" style="52" customWidth="1"/>
    <col min="11983" max="12122" width="9.140625" style="52"/>
    <col min="12123" max="12123" width="18.5703125" style="52" customWidth="1"/>
    <col min="12124" max="12124" width="3.5703125" style="52" customWidth="1"/>
    <col min="12125" max="12125" width="3" style="52" customWidth="1"/>
    <col min="12126" max="12126" width="8.140625" style="52" customWidth="1"/>
    <col min="12127" max="12132" width="0" style="52" hidden="1" customWidth="1"/>
    <col min="12133" max="12133" width="7.5703125" style="52" customWidth="1"/>
    <col min="12134" max="12154" width="0" style="52" hidden="1" customWidth="1"/>
    <col min="12155" max="12155" width="7.85546875" style="52" customWidth="1"/>
    <col min="12156" max="12172" width="0" style="52" hidden="1" customWidth="1"/>
    <col min="12173" max="12173" width="7.5703125" style="52" customWidth="1"/>
    <col min="12174" max="12193" width="0" style="52" hidden="1" customWidth="1"/>
    <col min="12194" max="12194" width="7.5703125" style="52" customWidth="1"/>
    <col min="12195" max="12213" width="0" style="52" hidden="1" customWidth="1"/>
    <col min="12214" max="12214" width="8.28515625" style="52" customWidth="1"/>
    <col min="12215" max="12225" width="0" style="52" hidden="1" customWidth="1"/>
    <col min="12226" max="12228" width="8.140625" style="52" customWidth="1"/>
    <col min="12229" max="12229" width="7.42578125" style="52" customWidth="1"/>
    <col min="12230" max="12230" width="5.7109375" style="52" customWidth="1"/>
    <col min="12231" max="12231" width="6.42578125" style="52" customWidth="1"/>
    <col min="12232" max="12232" width="5.7109375" style="52" customWidth="1"/>
    <col min="12233" max="12233" width="5.42578125" style="52" customWidth="1"/>
    <col min="12234" max="12234" width="5.28515625" style="52" customWidth="1"/>
    <col min="12235" max="12235" width="5.42578125" style="52" customWidth="1"/>
    <col min="12236" max="12236" width="5.28515625" style="52" customWidth="1"/>
    <col min="12237" max="12237" width="5.85546875" style="52" customWidth="1"/>
    <col min="12238" max="12238" width="6.140625" style="52" customWidth="1"/>
    <col min="12239" max="12378" width="9.140625" style="52"/>
    <col min="12379" max="12379" width="18.5703125" style="52" customWidth="1"/>
    <col min="12380" max="12380" width="3.5703125" style="52" customWidth="1"/>
    <col min="12381" max="12381" width="3" style="52" customWidth="1"/>
    <col min="12382" max="12382" width="8.140625" style="52" customWidth="1"/>
    <col min="12383" max="12388" width="0" style="52" hidden="1" customWidth="1"/>
    <col min="12389" max="12389" width="7.5703125" style="52" customWidth="1"/>
    <col min="12390" max="12410" width="0" style="52" hidden="1" customWidth="1"/>
    <col min="12411" max="12411" width="7.85546875" style="52" customWidth="1"/>
    <col min="12412" max="12428" width="0" style="52" hidden="1" customWidth="1"/>
    <col min="12429" max="12429" width="7.5703125" style="52" customWidth="1"/>
    <col min="12430" max="12449" width="0" style="52" hidden="1" customWidth="1"/>
    <col min="12450" max="12450" width="7.5703125" style="52" customWidth="1"/>
    <col min="12451" max="12469" width="0" style="52" hidden="1" customWidth="1"/>
    <col min="12470" max="12470" width="8.28515625" style="52" customWidth="1"/>
    <col min="12471" max="12481" width="0" style="52" hidden="1" customWidth="1"/>
    <col min="12482" max="12484" width="8.140625" style="52" customWidth="1"/>
    <col min="12485" max="12485" width="7.42578125" style="52" customWidth="1"/>
    <col min="12486" max="12486" width="5.7109375" style="52" customWidth="1"/>
    <col min="12487" max="12487" width="6.42578125" style="52" customWidth="1"/>
    <col min="12488" max="12488" width="5.7109375" style="52" customWidth="1"/>
    <col min="12489" max="12489" width="5.42578125" style="52" customWidth="1"/>
    <col min="12490" max="12490" width="5.28515625" style="52" customWidth="1"/>
    <col min="12491" max="12491" width="5.42578125" style="52" customWidth="1"/>
    <col min="12492" max="12492" width="5.28515625" style="52" customWidth="1"/>
    <col min="12493" max="12493" width="5.85546875" style="52" customWidth="1"/>
    <col min="12494" max="12494" width="6.140625" style="52" customWidth="1"/>
    <col min="12495" max="12634" width="9.140625" style="52"/>
    <col min="12635" max="12635" width="18.5703125" style="52" customWidth="1"/>
    <col min="12636" max="12636" width="3.5703125" style="52" customWidth="1"/>
    <col min="12637" max="12637" width="3" style="52" customWidth="1"/>
    <col min="12638" max="12638" width="8.140625" style="52" customWidth="1"/>
    <col min="12639" max="12644" width="0" style="52" hidden="1" customWidth="1"/>
    <col min="12645" max="12645" width="7.5703125" style="52" customWidth="1"/>
    <col min="12646" max="12666" width="0" style="52" hidden="1" customWidth="1"/>
    <col min="12667" max="12667" width="7.85546875" style="52" customWidth="1"/>
    <col min="12668" max="12684" width="0" style="52" hidden="1" customWidth="1"/>
    <col min="12685" max="12685" width="7.5703125" style="52" customWidth="1"/>
    <col min="12686" max="12705" width="0" style="52" hidden="1" customWidth="1"/>
    <col min="12706" max="12706" width="7.5703125" style="52" customWidth="1"/>
    <col min="12707" max="12725" width="0" style="52" hidden="1" customWidth="1"/>
    <col min="12726" max="12726" width="8.28515625" style="52" customWidth="1"/>
    <col min="12727" max="12737" width="0" style="52" hidden="1" customWidth="1"/>
    <col min="12738" max="12740" width="8.140625" style="52" customWidth="1"/>
    <col min="12741" max="12741" width="7.42578125" style="52" customWidth="1"/>
    <col min="12742" max="12742" width="5.7109375" style="52" customWidth="1"/>
    <col min="12743" max="12743" width="6.42578125" style="52" customWidth="1"/>
    <col min="12744" max="12744" width="5.7109375" style="52" customWidth="1"/>
    <col min="12745" max="12745" width="5.42578125" style="52" customWidth="1"/>
    <col min="12746" max="12746" width="5.28515625" style="52" customWidth="1"/>
    <col min="12747" max="12747" width="5.42578125" style="52" customWidth="1"/>
    <col min="12748" max="12748" width="5.28515625" style="52" customWidth="1"/>
    <col min="12749" max="12749" width="5.85546875" style="52" customWidth="1"/>
    <col min="12750" max="12750" width="6.140625" style="52" customWidth="1"/>
    <col min="12751" max="12890" width="9.140625" style="52"/>
    <col min="12891" max="12891" width="18.5703125" style="52" customWidth="1"/>
    <col min="12892" max="12892" width="3.5703125" style="52" customWidth="1"/>
    <col min="12893" max="12893" width="3" style="52" customWidth="1"/>
    <col min="12894" max="12894" width="8.140625" style="52" customWidth="1"/>
    <col min="12895" max="12900" width="0" style="52" hidden="1" customWidth="1"/>
    <col min="12901" max="12901" width="7.5703125" style="52" customWidth="1"/>
    <col min="12902" max="12922" width="0" style="52" hidden="1" customWidth="1"/>
    <col min="12923" max="12923" width="7.85546875" style="52" customWidth="1"/>
    <col min="12924" max="12940" width="0" style="52" hidden="1" customWidth="1"/>
    <col min="12941" max="12941" width="7.5703125" style="52" customWidth="1"/>
    <col min="12942" max="12961" width="0" style="52" hidden="1" customWidth="1"/>
    <col min="12962" max="12962" width="7.5703125" style="52" customWidth="1"/>
    <col min="12963" max="12981" width="0" style="52" hidden="1" customWidth="1"/>
    <col min="12982" max="12982" width="8.28515625" style="52" customWidth="1"/>
    <col min="12983" max="12993" width="0" style="52" hidden="1" customWidth="1"/>
    <col min="12994" max="12996" width="8.140625" style="52" customWidth="1"/>
    <col min="12997" max="12997" width="7.42578125" style="52" customWidth="1"/>
    <col min="12998" max="12998" width="5.7109375" style="52" customWidth="1"/>
    <col min="12999" max="12999" width="6.42578125" style="52" customWidth="1"/>
    <col min="13000" max="13000" width="5.7109375" style="52" customWidth="1"/>
    <col min="13001" max="13001" width="5.42578125" style="52" customWidth="1"/>
    <col min="13002" max="13002" width="5.28515625" style="52" customWidth="1"/>
    <col min="13003" max="13003" width="5.42578125" style="52" customWidth="1"/>
    <col min="13004" max="13004" width="5.28515625" style="52" customWidth="1"/>
    <col min="13005" max="13005" width="5.85546875" style="52" customWidth="1"/>
    <col min="13006" max="13006" width="6.140625" style="52" customWidth="1"/>
    <col min="13007" max="13146" width="9.140625" style="52"/>
    <col min="13147" max="13147" width="18.5703125" style="52" customWidth="1"/>
    <col min="13148" max="13148" width="3.5703125" style="52" customWidth="1"/>
    <col min="13149" max="13149" width="3" style="52" customWidth="1"/>
    <col min="13150" max="13150" width="8.140625" style="52" customWidth="1"/>
    <col min="13151" max="13156" width="0" style="52" hidden="1" customWidth="1"/>
    <col min="13157" max="13157" width="7.5703125" style="52" customWidth="1"/>
    <col min="13158" max="13178" width="0" style="52" hidden="1" customWidth="1"/>
    <col min="13179" max="13179" width="7.85546875" style="52" customWidth="1"/>
    <col min="13180" max="13196" width="0" style="52" hidden="1" customWidth="1"/>
    <col min="13197" max="13197" width="7.5703125" style="52" customWidth="1"/>
    <col min="13198" max="13217" width="0" style="52" hidden="1" customWidth="1"/>
    <col min="13218" max="13218" width="7.5703125" style="52" customWidth="1"/>
    <col min="13219" max="13237" width="0" style="52" hidden="1" customWidth="1"/>
    <col min="13238" max="13238" width="8.28515625" style="52" customWidth="1"/>
    <col min="13239" max="13249" width="0" style="52" hidden="1" customWidth="1"/>
    <col min="13250" max="13252" width="8.140625" style="52" customWidth="1"/>
    <col min="13253" max="13253" width="7.42578125" style="52" customWidth="1"/>
    <col min="13254" max="13254" width="5.7109375" style="52" customWidth="1"/>
    <col min="13255" max="13255" width="6.42578125" style="52" customWidth="1"/>
    <col min="13256" max="13256" width="5.7109375" style="52" customWidth="1"/>
    <col min="13257" max="13257" width="5.42578125" style="52" customWidth="1"/>
    <col min="13258" max="13258" width="5.28515625" style="52" customWidth="1"/>
    <col min="13259" max="13259" width="5.42578125" style="52" customWidth="1"/>
    <col min="13260" max="13260" width="5.28515625" style="52" customWidth="1"/>
    <col min="13261" max="13261" width="5.85546875" style="52" customWidth="1"/>
    <col min="13262" max="13262" width="6.140625" style="52" customWidth="1"/>
    <col min="13263" max="13402" width="9.140625" style="52"/>
    <col min="13403" max="13403" width="18.5703125" style="52" customWidth="1"/>
    <col min="13404" max="13404" width="3.5703125" style="52" customWidth="1"/>
    <col min="13405" max="13405" width="3" style="52" customWidth="1"/>
    <col min="13406" max="13406" width="8.140625" style="52" customWidth="1"/>
    <col min="13407" max="13412" width="0" style="52" hidden="1" customWidth="1"/>
    <col min="13413" max="13413" width="7.5703125" style="52" customWidth="1"/>
    <col min="13414" max="13434" width="0" style="52" hidden="1" customWidth="1"/>
    <col min="13435" max="13435" width="7.85546875" style="52" customWidth="1"/>
    <col min="13436" max="13452" width="0" style="52" hidden="1" customWidth="1"/>
    <col min="13453" max="13453" width="7.5703125" style="52" customWidth="1"/>
    <col min="13454" max="13473" width="0" style="52" hidden="1" customWidth="1"/>
    <col min="13474" max="13474" width="7.5703125" style="52" customWidth="1"/>
    <col min="13475" max="13493" width="0" style="52" hidden="1" customWidth="1"/>
    <col min="13494" max="13494" width="8.28515625" style="52" customWidth="1"/>
    <col min="13495" max="13505" width="0" style="52" hidden="1" customWidth="1"/>
    <col min="13506" max="13508" width="8.140625" style="52" customWidth="1"/>
    <col min="13509" max="13509" width="7.42578125" style="52" customWidth="1"/>
    <col min="13510" max="13510" width="5.7109375" style="52" customWidth="1"/>
    <col min="13511" max="13511" width="6.42578125" style="52" customWidth="1"/>
    <col min="13512" max="13512" width="5.7109375" style="52" customWidth="1"/>
    <col min="13513" max="13513" width="5.42578125" style="52" customWidth="1"/>
    <col min="13514" max="13514" width="5.28515625" style="52" customWidth="1"/>
    <col min="13515" max="13515" width="5.42578125" style="52" customWidth="1"/>
    <col min="13516" max="13516" width="5.28515625" style="52" customWidth="1"/>
    <col min="13517" max="13517" width="5.85546875" style="52" customWidth="1"/>
    <col min="13518" max="13518" width="6.140625" style="52" customWidth="1"/>
    <col min="13519" max="13658" width="9.140625" style="52"/>
    <col min="13659" max="13659" width="18.5703125" style="52" customWidth="1"/>
    <col min="13660" max="13660" width="3.5703125" style="52" customWidth="1"/>
    <col min="13661" max="13661" width="3" style="52" customWidth="1"/>
    <col min="13662" max="13662" width="8.140625" style="52" customWidth="1"/>
    <col min="13663" max="13668" width="0" style="52" hidden="1" customWidth="1"/>
    <col min="13669" max="13669" width="7.5703125" style="52" customWidth="1"/>
    <col min="13670" max="13690" width="0" style="52" hidden="1" customWidth="1"/>
    <col min="13691" max="13691" width="7.85546875" style="52" customWidth="1"/>
    <col min="13692" max="13708" width="0" style="52" hidden="1" customWidth="1"/>
    <col min="13709" max="13709" width="7.5703125" style="52" customWidth="1"/>
    <col min="13710" max="13729" width="0" style="52" hidden="1" customWidth="1"/>
    <col min="13730" max="13730" width="7.5703125" style="52" customWidth="1"/>
    <col min="13731" max="13749" width="0" style="52" hidden="1" customWidth="1"/>
    <col min="13750" max="13750" width="8.28515625" style="52" customWidth="1"/>
    <col min="13751" max="13761" width="0" style="52" hidden="1" customWidth="1"/>
    <col min="13762" max="13764" width="8.140625" style="52" customWidth="1"/>
    <col min="13765" max="13765" width="7.42578125" style="52" customWidth="1"/>
    <col min="13766" max="13766" width="5.7109375" style="52" customWidth="1"/>
    <col min="13767" max="13767" width="6.42578125" style="52" customWidth="1"/>
    <col min="13768" max="13768" width="5.7109375" style="52" customWidth="1"/>
    <col min="13769" max="13769" width="5.42578125" style="52" customWidth="1"/>
    <col min="13770" max="13770" width="5.28515625" style="52" customWidth="1"/>
    <col min="13771" max="13771" width="5.42578125" style="52" customWidth="1"/>
    <col min="13772" max="13772" width="5.28515625" style="52" customWidth="1"/>
    <col min="13773" max="13773" width="5.85546875" style="52" customWidth="1"/>
    <col min="13774" max="13774" width="6.140625" style="52" customWidth="1"/>
    <col min="13775" max="13914" width="9.140625" style="52"/>
    <col min="13915" max="13915" width="18.5703125" style="52" customWidth="1"/>
    <col min="13916" max="13916" width="3.5703125" style="52" customWidth="1"/>
    <col min="13917" max="13917" width="3" style="52" customWidth="1"/>
    <col min="13918" max="13918" width="8.140625" style="52" customWidth="1"/>
    <col min="13919" max="13924" width="0" style="52" hidden="1" customWidth="1"/>
    <col min="13925" max="13925" width="7.5703125" style="52" customWidth="1"/>
    <col min="13926" max="13946" width="0" style="52" hidden="1" customWidth="1"/>
    <col min="13947" max="13947" width="7.85546875" style="52" customWidth="1"/>
    <col min="13948" max="13964" width="0" style="52" hidden="1" customWidth="1"/>
    <col min="13965" max="13965" width="7.5703125" style="52" customWidth="1"/>
    <col min="13966" max="13985" width="0" style="52" hidden="1" customWidth="1"/>
    <col min="13986" max="13986" width="7.5703125" style="52" customWidth="1"/>
    <col min="13987" max="14005" width="0" style="52" hidden="1" customWidth="1"/>
    <col min="14006" max="14006" width="8.28515625" style="52" customWidth="1"/>
    <col min="14007" max="14017" width="0" style="52" hidden="1" customWidth="1"/>
    <col min="14018" max="14020" width="8.140625" style="52" customWidth="1"/>
    <col min="14021" max="14021" width="7.42578125" style="52" customWidth="1"/>
    <col min="14022" max="14022" width="5.7109375" style="52" customWidth="1"/>
    <col min="14023" max="14023" width="6.42578125" style="52" customWidth="1"/>
    <col min="14024" max="14024" width="5.7109375" style="52" customWidth="1"/>
    <col min="14025" max="14025" width="5.42578125" style="52" customWidth="1"/>
    <col min="14026" max="14026" width="5.28515625" style="52" customWidth="1"/>
    <col min="14027" max="14027" width="5.42578125" style="52" customWidth="1"/>
    <col min="14028" max="14028" width="5.28515625" style="52" customWidth="1"/>
    <col min="14029" max="14029" width="5.85546875" style="52" customWidth="1"/>
    <col min="14030" max="14030" width="6.140625" style="52" customWidth="1"/>
    <col min="14031" max="14170" width="9.140625" style="52"/>
    <col min="14171" max="14171" width="18.5703125" style="52" customWidth="1"/>
    <col min="14172" max="14172" width="3.5703125" style="52" customWidth="1"/>
    <col min="14173" max="14173" width="3" style="52" customWidth="1"/>
    <col min="14174" max="14174" width="8.140625" style="52" customWidth="1"/>
    <col min="14175" max="14180" width="0" style="52" hidden="1" customWidth="1"/>
    <col min="14181" max="14181" width="7.5703125" style="52" customWidth="1"/>
    <col min="14182" max="14202" width="0" style="52" hidden="1" customWidth="1"/>
    <col min="14203" max="14203" width="7.85546875" style="52" customWidth="1"/>
    <col min="14204" max="14220" width="0" style="52" hidden="1" customWidth="1"/>
    <col min="14221" max="14221" width="7.5703125" style="52" customWidth="1"/>
    <col min="14222" max="14241" width="0" style="52" hidden="1" customWidth="1"/>
    <col min="14242" max="14242" width="7.5703125" style="52" customWidth="1"/>
    <col min="14243" max="14261" width="0" style="52" hidden="1" customWidth="1"/>
    <col min="14262" max="14262" width="8.28515625" style="52" customWidth="1"/>
    <col min="14263" max="14273" width="0" style="52" hidden="1" customWidth="1"/>
    <col min="14274" max="14276" width="8.140625" style="52" customWidth="1"/>
    <col min="14277" max="14277" width="7.42578125" style="52" customWidth="1"/>
    <col min="14278" max="14278" width="5.7109375" style="52" customWidth="1"/>
    <col min="14279" max="14279" width="6.42578125" style="52" customWidth="1"/>
    <col min="14280" max="14280" width="5.7109375" style="52" customWidth="1"/>
    <col min="14281" max="14281" width="5.42578125" style="52" customWidth="1"/>
    <col min="14282" max="14282" width="5.28515625" style="52" customWidth="1"/>
    <col min="14283" max="14283" width="5.42578125" style="52" customWidth="1"/>
    <col min="14284" max="14284" width="5.28515625" style="52" customWidth="1"/>
    <col min="14285" max="14285" width="5.85546875" style="52" customWidth="1"/>
    <col min="14286" max="14286" width="6.140625" style="52" customWidth="1"/>
    <col min="14287" max="14426" width="9.140625" style="52"/>
    <col min="14427" max="14427" width="18.5703125" style="52" customWidth="1"/>
    <col min="14428" max="14428" width="3.5703125" style="52" customWidth="1"/>
    <col min="14429" max="14429" width="3" style="52" customWidth="1"/>
    <col min="14430" max="14430" width="8.140625" style="52" customWidth="1"/>
    <col min="14431" max="14436" width="0" style="52" hidden="1" customWidth="1"/>
    <col min="14437" max="14437" width="7.5703125" style="52" customWidth="1"/>
    <col min="14438" max="14458" width="0" style="52" hidden="1" customWidth="1"/>
    <col min="14459" max="14459" width="7.85546875" style="52" customWidth="1"/>
    <col min="14460" max="14476" width="0" style="52" hidden="1" customWidth="1"/>
    <col min="14477" max="14477" width="7.5703125" style="52" customWidth="1"/>
    <col min="14478" max="14497" width="0" style="52" hidden="1" customWidth="1"/>
    <col min="14498" max="14498" width="7.5703125" style="52" customWidth="1"/>
    <col min="14499" max="14517" width="0" style="52" hidden="1" customWidth="1"/>
    <col min="14518" max="14518" width="8.28515625" style="52" customWidth="1"/>
    <col min="14519" max="14529" width="0" style="52" hidden="1" customWidth="1"/>
    <col min="14530" max="14532" width="8.140625" style="52" customWidth="1"/>
    <col min="14533" max="14533" width="7.42578125" style="52" customWidth="1"/>
    <col min="14534" max="14534" width="5.7109375" style="52" customWidth="1"/>
    <col min="14535" max="14535" width="6.42578125" style="52" customWidth="1"/>
    <col min="14536" max="14536" width="5.7109375" style="52" customWidth="1"/>
    <col min="14537" max="14537" width="5.42578125" style="52" customWidth="1"/>
    <col min="14538" max="14538" width="5.28515625" style="52" customWidth="1"/>
    <col min="14539" max="14539" width="5.42578125" style="52" customWidth="1"/>
    <col min="14540" max="14540" width="5.28515625" style="52" customWidth="1"/>
    <col min="14541" max="14541" width="5.85546875" style="52" customWidth="1"/>
    <col min="14542" max="14542" width="6.140625" style="52" customWidth="1"/>
    <col min="14543" max="14682" width="9.140625" style="52"/>
    <col min="14683" max="14683" width="18.5703125" style="52" customWidth="1"/>
    <col min="14684" max="14684" width="3.5703125" style="52" customWidth="1"/>
    <col min="14685" max="14685" width="3" style="52" customWidth="1"/>
    <col min="14686" max="14686" width="8.140625" style="52" customWidth="1"/>
    <col min="14687" max="14692" width="0" style="52" hidden="1" customWidth="1"/>
    <col min="14693" max="14693" width="7.5703125" style="52" customWidth="1"/>
    <col min="14694" max="14714" width="0" style="52" hidden="1" customWidth="1"/>
    <col min="14715" max="14715" width="7.85546875" style="52" customWidth="1"/>
    <col min="14716" max="14732" width="0" style="52" hidden="1" customWidth="1"/>
    <col min="14733" max="14733" width="7.5703125" style="52" customWidth="1"/>
    <col min="14734" max="14753" width="0" style="52" hidden="1" customWidth="1"/>
    <col min="14754" max="14754" width="7.5703125" style="52" customWidth="1"/>
    <col min="14755" max="14773" width="0" style="52" hidden="1" customWidth="1"/>
    <col min="14774" max="14774" width="8.28515625" style="52" customWidth="1"/>
    <col min="14775" max="14785" width="0" style="52" hidden="1" customWidth="1"/>
    <col min="14786" max="14788" width="8.140625" style="52" customWidth="1"/>
    <col min="14789" max="14789" width="7.42578125" style="52" customWidth="1"/>
    <col min="14790" max="14790" width="5.7109375" style="52" customWidth="1"/>
    <col min="14791" max="14791" width="6.42578125" style="52" customWidth="1"/>
    <col min="14792" max="14792" width="5.7109375" style="52" customWidth="1"/>
    <col min="14793" max="14793" width="5.42578125" style="52" customWidth="1"/>
    <col min="14794" max="14794" width="5.28515625" style="52" customWidth="1"/>
    <col min="14795" max="14795" width="5.42578125" style="52" customWidth="1"/>
    <col min="14796" max="14796" width="5.28515625" style="52" customWidth="1"/>
    <col min="14797" max="14797" width="5.85546875" style="52" customWidth="1"/>
    <col min="14798" max="14798" width="6.140625" style="52" customWidth="1"/>
    <col min="14799" max="14938" width="9.140625" style="52"/>
    <col min="14939" max="14939" width="18.5703125" style="52" customWidth="1"/>
    <col min="14940" max="14940" width="3.5703125" style="52" customWidth="1"/>
    <col min="14941" max="14941" width="3" style="52" customWidth="1"/>
    <col min="14942" max="14942" width="8.140625" style="52" customWidth="1"/>
    <col min="14943" max="14948" width="0" style="52" hidden="1" customWidth="1"/>
    <col min="14949" max="14949" width="7.5703125" style="52" customWidth="1"/>
    <col min="14950" max="14970" width="0" style="52" hidden="1" customWidth="1"/>
    <col min="14971" max="14971" width="7.85546875" style="52" customWidth="1"/>
    <col min="14972" max="14988" width="0" style="52" hidden="1" customWidth="1"/>
    <col min="14989" max="14989" width="7.5703125" style="52" customWidth="1"/>
    <col min="14990" max="15009" width="0" style="52" hidden="1" customWidth="1"/>
    <col min="15010" max="15010" width="7.5703125" style="52" customWidth="1"/>
    <col min="15011" max="15029" width="0" style="52" hidden="1" customWidth="1"/>
    <col min="15030" max="15030" width="8.28515625" style="52" customWidth="1"/>
    <col min="15031" max="15041" width="0" style="52" hidden="1" customWidth="1"/>
    <col min="15042" max="15044" width="8.140625" style="52" customWidth="1"/>
    <col min="15045" max="15045" width="7.42578125" style="52" customWidth="1"/>
    <col min="15046" max="15046" width="5.7109375" style="52" customWidth="1"/>
    <col min="15047" max="15047" width="6.42578125" style="52" customWidth="1"/>
    <col min="15048" max="15048" width="5.7109375" style="52" customWidth="1"/>
    <col min="15049" max="15049" width="5.42578125" style="52" customWidth="1"/>
    <col min="15050" max="15050" width="5.28515625" style="52" customWidth="1"/>
    <col min="15051" max="15051" width="5.42578125" style="52" customWidth="1"/>
    <col min="15052" max="15052" width="5.28515625" style="52" customWidth="1"/>
    <col min="15053" max="15053" width="5.85546875" style="52" customWidth="1"/>
    <col min="15054" max="15054" width="6.140625" style="52" customWidth="1"/>
    <col min="15055" max="15194" width="9.140625" style="52"/>
    <col min="15195" max="15195" width="18.5703125" style="52" customWidth="1"/>
    <col min="15196" max="15196" width="3.5703125" style="52" customWidth="1"/>
    <col min="15197" max="15197" width="3" style="52" customWidth="1"/>
    <col min="15198" max="15198" width="8.140625" style="52" customWidth="1"/>
    <col min="15199" max="15204" width="0" style="52" hidden="1" customWidth="1"/>
    <col min="15205" max="15205" width="7.5703125" style="52" customWidth="1"/>
    <col min="15206" max="15226" width="0" style="52" hidden="1" customWidth="1"/>
    <col min="15227" max="15227" width="7.85546875" style="52" customWidth="1"/>
    <col min="15228" max="15244" width="0" style="52" hidden="1" customWidth="1"/>
    <col min="15245" max="15245" width="7.5703125" style="52" customWidth="1"/>
    <col min="15246" max="15265" width="0" style="52" hidden="1" customWidth="1"/>
    <col min="15266" max="15266" width="7.5703125" style="52" customWidth="1"/>
    <col min="15267" max="15285" width="0" style="52" hidden="1" customWidth="1"/>
    <col min="15286" max="15286" width="8.28515625" style="52" customWidth="1"/>
    <col min="15287" max="15297" width="0" style="52" hidden="1" customWidth="1"/>
    <col min="15298" max="15300" width="8.140625" style="52" customWidth="1"/>
    <col min="15301" max="15301" width="7.42578125" style="52" customWidth="1"/>
    <col min="15302" max="15302" width="5.7109375" style="52" customWidth="1"/>
    <col min="15303" max="15303" width="6.42578125" style="52" customWidth="1"/>
    <col min="15304" max="15304" width="5.7109375" style="52" customWidth="1"/>
    <col min="15305" max="15305" width="5.42578125" style="52" customWidth="1"/>
    <col min="15306" max="15306" width="5.28515625" style="52" customWidth="1"/>
    <col min="15307" max="15307" width="5.42578125" style="52" customWidth="1"/>
    <col min="15308" max="15308" width="5.28515625" style="52" customWidth="1"/>
    <col min="15309" max="15309" width="5.85546875" style="52" customWidth="1"/>
    <col min="15310" max="15310" width="6.140625" style="52" customWidth="1"/>
    <col min="15311" max="15450" width="9.140625" style="52"/>
    <col min="15451" max="15451" width="18.5703125" style="52" customWidth="1"/>
    <col min="15452" max="15452" width="3.5703125" style="52" customWidth="1"/>
    <col min="15453" max="15453" width="3" style="52" customWidth="1"/>
    <col min="15454" max="15454" width="8.140625" style="52" customWidth="1"/>
    <col min="15455" max="15460" width="0" style="52" hidden="1" customWidth="1"/>
    <col min="15461" max="15461" width="7.5703125" style="52" customWidth="1"/>
    <col min="15462" max="15482" width="0" style="52" hidden="1" customWidth="1"/>
    <col min="15483" max="15483" width="7.85546875" style="52" customWidth="1"/>
    <col min="15484" max="15500" width="0" style="52" hidden="1" customWidth="1"/>
    <col min="15501" max="15501" width="7.5703125" style="52" customWidth="1"/>
    <col min="15502" max="15521" width="0" style="52" hidden="1" customWidth="1"/>
    <col min="15522" max="15522" width="7.5703125" style="52" customWidth="1"/>
    <col min="15523" max="15541" width="0" style="52" hidden="1" customWidth="1"/>
    <col min="15542" max="15542" width="8.28515625" style="52" customWidth="1"/>
    <col min="15543" max="15553" width="0" style="52" hidden="1" customWidth="1"/>
    <col min="15554" max="15556" width="8.140625" style="52" customWidth="1"/>
    <col min="15557" max="15557" width="7.42578125" style="52" customWidth="1"/>
    <col min="15558" max="15558" width="5.7109375" style="52" customWidth="1"/>
    <col min="15559" max="15559" width="6.42578125" style="52" customWidth="1"/>
    <col min="15560" max="15560" width="5.7109375" style="52" customWidth="1"/>
    <col min="15561" max="15561" width="5.42578125" style="52" customWidth="1"/>
    <col min="15562" max="15562" width="5.28515625" style="52" customWidth="1"/>
    <col min="15563" max="15563" width="5.42578125" style="52" customWidth="1"/>
    <col min="15564" max="15564" width="5.28515625" style="52" customWidth="1"/>
    <col min="15565" max="15565" width="5.85546875" style="52" customWidth="1"/>
    <col min="15566" max="15566" width="6.140625" style="52" customWidth="1"/>
    <col min="15567" max="15706" width="9.140625" style="52"/>
    <col min="15707" max="15707" width="18.5703125" style="52" customWidth="1"/>
    <col min="15708" max="15708" width="3.5703125" style="52" customWidth="1"/>
    <col min="15709" max="15709" width="3" style="52" customWidth="1"/>
    <col min="15710" max="15710" width="8.140625" style="52" customWidth="1"/>
    <col min="15711" max="15716" width="0" style="52" hidden="1" customWidth="1"/>
    <col min="15717" max="15717" width="7.5703125" style="52" customWidth="1"/>
    <col min="15718" max="15738" width="0" style="52" hidden="1" customWidth="1"/>
    <col min="15739" max="15739" width="7.85546875" style="52" customWidth="1"/>
    <col min="15740" max="15756" width="0" style="52" hidden="1" customWidth="1"/>
    <col min="15757" max="15757" width="7.5703125" style="52" customWidth="1"/>
    <col min="15758" max="15777" width="0" style="52" hidden="1" customWidth="1"/>
    <col min="15778" max="15778" width="7.5703125" style="52" customWidth="1"/>
    <col min="15779" max="15797" width="0" style="52" hidden="1" customWidth="1"/>
    <col min="15798" max="15798" width="8.28515625" style="52" customWidth="1"/>
    <col min="15799" max="15809" width="0" style="52" hidden="1" customWidth="1"/>
    <col min="15810" max="15812" width="8.140625" style="52" customWidth="1"/>
    <col min="15813" max="15813" width="7.42578125" style="52" customWidth="1"/>
    <col min="15814" max="15814" width="5.7109375" style="52" customWidth="1"/>
    <col min="15815" max="15815" width="6.42578125" style="52" customWidth="1"/>
    <col min="15816" max="15816" width="5.7109375" style="52" customWidth="1"/>
    <col min="15817" max="15817" width="5.42578125" style="52" customWidth="1"/>
    <col min="15818" max="15818" width="5.28515625" style="52" customWidth="1"/>
    <col min="15819" max="15819" width="5.42578125" style="52" customWidth="1"/>
    <col min="15820" max="15820" width="5.28515625" style="52" customWidth="1"/>
    <col min="15821" max="15821" width="5.85546875" style="52" customWidth="1"/>
    <col min="15822" max="15822" width="6.140625" style="52" customWidth="1"/>
    <col min="15823" max="15962" width="9.140625" style="52"/>
    <col min="15963" max="15963" width="18.5703125" style="52" customWidth="1"/>
    <col min="15964" max="15964" width="3.5703125" style="52" customWidth="1"/>
    <col min="15965" max="15965" width="3" style="52" customWidth="1"/>
    <col min="15966" max="15966" width="8.140625" style="52" customWidth="1"/>
    <col min="15967" max="15972" width="0" style="52" hidden="1" customWidth="1"/>
    <col min="15973" max="15973" width="7.5703125" style="52" customWidth="1"/>
    <col min="15974" max="15994" width="0" style="52" hidden="1" customWidth="1"/>
    <col min="15995" max="15995" width="7.85546875" style="52" customWidth="1"/>
    <col min="15996" max="16012" width="0" style="52" hidden="1" customWidth="1"/>
    <col min="16013" max="16013" width="7.5703125" style="52" customWidth="1"/>
    <col min="16014" max="16033" width="0" style="52" hidden="1" customWidth="1"/>
    <col min="16034" max="16034" width="7.5703125" style="52" customWidth="1"/>
    <col min="16035" max="16053" width="0" style="52" hidden="1" customWidth="1"/>
    <col min="16054" max="16054" width="8.28515625" style="52" customWidth="1"/>
    <col min="16055" max="16065" width="0" style="52" hidden="1" customWidth="1"/>
    <col min="16066" max="16068" width="8.140625" style="52" customWidth="1"/>
    <col min="16069" max="16069" width="7.42578125" style="52" customWidth="1"/>
    <col min="16070" max="16070" width="5.7109375" style="52" customWidth="1"/>
    <col min="16071" max="16071" width="6.42578125" style="52" customWidth="1"/>
    <col min="16072" max="16072" width="5.7109375" style="52" customWidth="1"/>
    <col min="16073" max="16073" width="5.42578125" style="52" customWidth="1"/>
    <col min="16074" max="16074" width="5.28515625" style="52" customWidth="1"/>
    <col min="16075" max="16075" width="5.42578125" style="52" customWidth="1"/>
    <col min="16076" max="16076" width="5.28515625" style="52" customWidth="1"/>
    <col min="16077" max="16077" width="5.85546875" style="52" customWidth="1"/>
    <col min="16078" max="16078" width="6.140625" style="52" customWidth="1"/>
    <col min="16079" max="16384" width="9.140625" style="52"/>
  </cols>
  <sheetData>
    <row r="1" spans="1:46" ht="17.25" customHeight="1" x14ac:dyDescent="0.2">
      <c r="A1" s="50"/>
      <c r="B1" s="50"/>
      <c r="C1" s="50"/>
      <c r="D1" s="50"/>
      <c r="E1" s="51"/>
    </row>
    <row r="2" spans="1:46" ht="18.75" customHeight="1" x14ac:dyDescent="0.2">
      <c r="A2" s="104" t="s">
        <v>266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57"/>
      <c r="AS2" s="57" t="s">
        <v>266</v>
      </c>
      <c r="AT2" s="57"/>
    </row>
    <row r="3" spans="1:46" ht="24" customHeight="1" x14ac:dyDescent="0.2">
      <c r="A3" s="58" t="s">
        <v>267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</row>
    <row r="4" spans="1:46" s="69" customFormat="1" ht="73.5" x14ac:dyDescent="0.25">
      <c r="A4" s="59" t="s">
        <v>268</v>
      </c>
      <c r="B4" s="59" t="s">
        <v>269</v>
      </c>
      <c r="C4" s="59" t="s">
        <v>270</v>
      </c>
      <c r="D4" s="60" t="s">
        <v>271</v>
      </c>
      <c r="E4" s="61" t="s">
        <v>272</v>
      </c>
      <c r="F4" s="61" t="s">
        <v>273</v>
      </c>
      <c r="G4" s="61" t="s">
        <v>274</v>
      </c>
      <c r="H4" s="61" t="s">
        <v>275</v>
      </c>
      <c r="I4" s="61" t="s">
        <v>276</v>
      </c>
      <c r="J4" s="62" t="s">
        <v>277</v>
      </c>
      <c r="K4" s="62" t="s">
        <v>278</v>
      </c>
      <c r="L4" s="62" t="s">
        <v>279</v>
      </c>
      <c r="M4" s="63" t="s">
        <v>280</v>
      </c>
      <c r="N4" s="63" t="s">
        <v>281</v>
      </c>
      <c r="O4" s="64" t="s">
        <v>282</v>
      </c>
      <c r="P4" s="64" t="s">
        <v>48</v>
      </c>
      <c r="Q4" s="64" t="s">
        <v>283</v>
      </c>
      <c r="R4" s="64" t="s">
        <v>284</v>
      </c>
      <c r="S4" s="62" t="s">
        <v>285</v>
      </c>
      <c r="T4" s="65" t="s">
        <v>286</v>
      </c>
      <c r="U4" s="66" t="s">
        <v>287</v>
      </c>
      <c r="V4" s="67" t="s">
        <v>288</v>
      </c>
      <c r="W4" s="67" t="s">
        <v>55</v>
      </c>
      <c r="X4" s="67" t="s">
        <v>56</v>
      </c>
      <c r="Y4" s="67" t="s">
        <v>289</v>
      </c>
      <c r="Z4" s="67" t="s">
        <v>290</v>
      </c>
      <c r="AA4" s="67" t="s">
        <v>291</v>
      </c>
      <c r="AB4" s="64" t="s">
        <v>292</v>
      </c>
      <c r="AC4" s="64" t="s">
        <v>57</v>
      </c>
      <c r="AD4" s="68" t="s">
        <v>286</v>
      </c>
      <c r="AE4" s="65" t="s">
        <v>293</v>
      </c>
      <c r="AF4" s="65" t="s">
        <v>294</v>
      </c>
      <c r="AG4" s="65" t="s">
        <v>295</v>
      </c>
      <c r="AH4" s="65" t="s">
        <v>296</v>
      </c>
      <c r="AI4" s="65" t="s">
        <v>297</v>
      </c>
      <c r="AJ4" s="65" t="s">
        <v>298</v>
      </c>
      <c r="AK4" s="65" t="s">
        <v>299</v>
      </c>
      <c r="AL4" s="65" t="s">
        <v>300</v>
      </c>
      <c r="AM4" s="65" t="s">
        <v>301</v>
      </c>
      <c r="AN4" s="65" t="s">
        <v>302</v>
      </c>
      <c r="AO4" s="65" t="s">
        <v>303</v>
      </c>
      <c r="AP4" s="65" t="s">
        <v>304</v>
      </c>
      <c r="AQ4" s="65" t="s">
        <v>305</v>
      </c>
      <c r="AR4" s="64" t="s">
        <v>306</v>
      </c>
      <c r="AS4" s="64" t="s">
        <v>307</v>
      </c>
      <c r="AT4" s="64" t="s">
        <v>308</v>
      </c>
    </row>
    <row r="5" spans="1:46" s="73" customFormat="1" ht="29.25" customHeight="1" x14ac:dyDescent="0.15">
      <c r="A5" s="70" t="s">
        <v>309</v>
      </c>
      <c r="B5" s="71" t="s">
        <v>310</v>
      </c>
      <c r="C5" s="71"/>
      <c r="D5" s="71" t="s">
        <v>311</v>
      </c>
      <c r="E5" s="71" t="s">
        <v>312</v>
      </c>
      <c r="F5" s="71" t="s">
        <v>313</v>
      </c>
      <c r="G5" s="71" t="s">
        <v>314</v>
      </c>
      <c r="H5" s="72">
        <f>H6+H7+H9+H10+H11</f>
        <v>20717.100000000002</v>
      </c>
      <c r="I5" s="72">
        <f>I6+I7+I9+I10+I11</f>
        <v>20717.699999999997</v>
      </c>
      <c r="J5" s="72">
        <f>J6+J7+J9+J10+J11</f>
        <v>20301.7</v>
      </c>
      <c r="K5" s="72">
        <f>K6+K7+K9+K10+K11</f>
        <v>27987.5</v>
      </c>
      <c r="L5" s="72">
        <f t="shared" ref="L5:R5" si="0">L6+L7+L9+L10+L11</f>
        <v>25210.3</v>
      </c>
      <c r="M5" s="72">
        <f t="shared" si="0"/>
        <v>30634.2</v>
      </c>
      <c r="N5" s="72">
        <f t="shared" si="0"/>
        <v>30375.9</v>
      </c>
      <c r="O5" s="72">
        <f t="shared" si="0"/>
        <v>24911.300000000003</v>
      </c>
      <c r="P5" s="72">
        <f t="shared" si="0"/>
        <v>25590.5</v>
      </c>
      <c r="Q5" s="72">
        <f t="shared" si="0"/>
        <v>27706.300000000003</v>
      </c>
      <c r="R5" s="72">
        <f t="shared" si="0"/>
        <v>30004.7</v>
      </c>
      <c r="S5" s="72">
        <f>S6+S7+S9+S10+S11</f>
        <v>31531</v>
      </c>
      <c r="T5" s="72">
        <f t="shared" ref="T5:U5" si="1">T6+T7+T9+T10+T11</f>
        <v>31531</v>
      </c>
      <c r="U5" s="72">
        <f t="shared" si="1"/>
        <v>31437.599999999999</v>
      </c>
      <c r="V5" s="72">
        <f>V6+V7+V9+V10+V11</f>
        <v>28717.4</v>
      </c>
      <c r="W5" s="72">
        <f>W6+W7+W9+W10+W11</f>
        <v>30860.1</v>
      </c>
      <c r="X5" s="72">
        <f>X6+X7+X9+X10+X11+X8</f>
        <v>32574.500000000004</v>
      </c>
      <c r="Y5" s="72">
        <f>Y6+Y7+Y9+Y10+Y11+Y8</f>
        <v>33501.399999999994</v>
      </c>
      <c r="Z5" s="72">
        <f>Z6+Z7+Z9+Z10+Z11+Z8</f>
        <v>35381.799999999996</v>
      </c>
      <c r="AA5" s="72">
        <f>AA6+AA7+AA9+AA10+AA8+AA11</f>
        <v>36562.800000000003</v>
      </c>
      <c r="AB5" s="72">
        <f>AB6+AB7+AB9+AB10+AB8+AB11</f>
        <v>36783.1</v>
      </c>
      <c r="AC5" s="72">
        <f>AC6+AC7+AC9+AC10+AC11+AC8</f>
        <v>36660.299999999996</v>
      </c>
      <c r="AD5" s="72">
        <f t="shared" ref="AD5:AE5" si="2">AD6+AD7+AD9+AD10+AD11+AD8</f>
        <v>36660.299999999996</v>
      </c>
      <c r="AE5" s="72">
        <f t="shared" si="2"/>
        <v>35339.399999999994</v>
      </c>
      <c r="AF5" s="72">
        <f>AD5-AC5</f>
        <v>0</v>
      </c>
      <c r="AG5" s="72">
        <f>AD5/AC5*100</f>
        <v>100</v>
      </c>
      <c r="AH5" s="72">
        <f>AE5-AD5</f>
        <v>-1320.9000000000015</v>
      </c>
      <c r="AI5" s="72">
        <f>AE5/AD5*100</f>
        <v>96.396919828806631</v>
      </c>
      <c r="AJ5" s="72">
        <f>AE5/V5*100</f>
        <v>123.05919059524885</v>
      </c>
      <c r="AK5" s="72">
        <f>AE5/AC5*100</f>
        <v>96.396919828806631</v>
      </c>
      <c r="AL5" s="72">
        <f>AE5/U5*100</f>
        <v>112.41125276738681</v>
      </c>
      <c r="AM5" s="72">
        <f>AC5-V5</f>
        <v>7942.8999999999942</v>
      </c>
      <c r="AN5" s="72">
        <f>AC5/V5*100</f>
        <v>127.65884098142588</v>
      </c>
      <c r="AO5" s="72">
        <f>AD5-V5</f>
        <v>7942.8999999999942</v>
      </c>
      <c r="AP5" s="72">
        <f>AD5/V5*100</f>
        <v>127.65884098142588</v>
      </c>
      <c r="AQ5" s="72">
        <f>AE5/$AE$47*100</f>
        <v>34.337834056247374</v>
      </c>
      <c r="AR5" s="72">
        <f>AR6+AR7+AR9+AR10+AR8+AR11</f>
        <v>30982.100000000002</v>
      </c>
      <c r="AS5" s="72">
        <f>AS6+AS7+AS9+AS10+AS8+AS11</f>
        <v>32413.200000000001</v>
      </c>
      <c r="AT5" s="72">
        <f>AT6+AT7+AT9+AT10+AT8+AT11</f>
        <v>33844.400000000001</v>
      </c>
    </row>
    <row r="6" spans="1:46" ht="34.5" customHeight="1" x14ac:dyDescent="0.2">
      <c r="A6" s="74" t="s">
        <v>315</v>
      </c>
      <c r="B6" s="75" t="s">
        <v>310</v>
      </c>
      <c r="C6" s="75" t="s">
        <v>316</v>
      </c>
      <c r="D6" s="75" t="s">
        <v>317</v>
      </c>
      <c r="E6" s="76">
        <v>3822.9</v>
      </c>
      <c r="F6" s="77">
        <f>1296.842+299.744+1712.919+518.527</f>
        <v>3828.0320000000002</v>
      </c>
      <c r="G6" s="78">
        <v>5215</v>
      </c>
      <c r="H6" s="78">
        <v>5027</v>
      </c>
      <c r="I6" s="78">
        <v>5851.4</v>
      </c>
      <c r="J6" s="77">
        <v>5931.2</v>
      </c>
      <c r="K6" s="79">
        <v>7495.4</v>
      </c>
      <c r="L6" s="79">
        <v>6894.7</v>
      </c>
      <c r="M6" s="80">
        <v>6961.3</v>
      </c>
      <c r="N6" s="80">
        <v>7646.1</v>
      </c>
      <c r="O6" s="80">
        <v>7497</v>
      </c>
      <c r="P6" s="80">
        <v>7497</v>
      </c>
      <c r="Q6" s="80">
        <v>7497</v>
      </c>
      <c r="R6" s="80">
        <v>7603.1</v>
      </c>
      <c r="S6" s="80">
        <v>8297.5</v>
      </c>
      <c r="T6" s="80">
        <v>8297.5</v>
      </c>
      <c r="U6" s="80">
        <v>8297.5</v>
      </c>
      <c r="V6" s="80">
        <v>7603.1</v>
      </c>
      <c r="W6" s="80">
        <v>7603.1</v>
      </c>
      <c r="X6" s="80">
        <v>7603.1</v>
      </c>
      <c r="Y6" s="80">
        <v>7603.1</v>
      </c>
      <c r="Z6" s="80">
        <v>10049</v>
      </c>
      <c r="AA6" s="80">
        <v>10049</v>
      </c>
      <c r="AB6" s="80">
        <v>10435.4</v>
      </c>
      <c r="AC6" s="80">
        <v>9916.6</v>
      </c>
      <c r="AD6" s="80">
        <v>9916.6</v>
      </c>
      <c r="AE6" s="80">
        <v>9916.6</v>
      </c>
      <c r="AF6" s="80">
        <f t="shared" ref="AF6:AF29" si="3">AD6-AC6</f>
        <v>0</v>
      </c>
      <c r="AG6" s="80">
        <f t="shared" ref="AG6:AG29" si="4">AD6/AC6*100</f>
        <v>100</v>
      </c>
      <c r="AH6" s="80">
        <f t="shared" ref="AH6:AH29" si="5">AE6-AD6</f>
        <v>0</v>
      </c>
      <c r="AI6" s="80">
        <f t="shared" ref="AI6:AI29" si="6">AE6/AD6*100</f>
        <v>100</v>
      </c>
      <c r="AJ6" s="80">
        <f t="shared" ref="AJ6:AJ29" si="7">AE6/V6*100</f>
        <v>130.42837789848878</v>
      </c>
      <c r="AK6" s="80">
        <f t="shared" ref="AK6:AK29" si="8">AE6/AC6*100</f>
        <v>100</v>
      </c>
      <c r="AL6" s="80">
        <f t="shared" ref="AL6:AL29" si="9">AE6/U6*100</f>
        <v>119.51310635733657</v>
      </c>
      <c r="AM6" s="80">
        <f t="shared" ref="AM6:AM29" si="10">AC6-V6</f>
        <v>2313.5</v>
      </c>
      <c r="AN6" s="80">
        <f t="shared" ref="AN6:AN29" si="11">AC6/V6*100</f>
        <v>130.42837789848878</v>
      </c>
      <c r="AO6" s="80">
        <f t="shared" ref="AO6:AO29" si="12">AD6-V6</f>
        <v>2313.5</v>
      </c>
      <c r="AP6" s="80">
        <f t="shared" ref="AP6:AP29" si="13">AD6/V6*100</f>
        <v>130.42837789848878</v>
      </c>
      <c r="AQ6" s="80">
        <f t="shared" ref="AQ6:AQ29" si="14">AE6/$AE$47*100</f>
        <v>9.6355502697324464</v>
      </c>
      <c r="AR6" s="80">
        <v>9128</v>
      </c>
      <c r="AS6" s="80">
        <v>9128</v>
      </c>
      <c r="AT6" s="80">
        <v>9128</v>
      </c>
    </row>
    <row r="7" spans="1:46" ht="34.5" customHeight="1" x14ac:dyDescent="0.2">
      <c r="A7" s="74" t="s">
        <v>318</v>
      </c>
      <c r="B7" s="75" t="s">
        <v>310</v>
      </c>
      <c r="C7" s="75" t="s">
        <v>319</v>
      </c>
      <c r="D7" s="75" t="s">
        <v>320</v>
      </c>
      <c r="E7" s="76">
        <v>6805.7</v>
      </c>
      <c r="F7" s="77">
        <f>9045.923+2250.473+30.9+96.39+108.835+188.212+68.161+17.222+26.413+53.641+483.207+21.912+22.306+282.223+138.309</f>
        <v>12834.126999999999</v>
      </c>
      <c r="G7" s="78">
        <v>12623.9</v>
      </c>
      <c r="H7" s="78">
        <v>12051.4</v>
      </c>
      <c r="I7" s="78">
        <v>12253.7</v>
      </c>
      <c r="J7" s="77">
        <v>12292.3</v>
      </c>
      <c r="K7" s="79">
        <v>13525.4</v>
      </c>
      <c r="L7" s="79">
        <v>13759.9</v>
      </c>
      <c r="M7" s="80">
        <v>12956.4</v>
      </c>
      <c r="N7" s="80">
        <v>15903.6</v>
      </c>
      <c r="O7" s="80">
        <v>15601.9</v>
      </c>
      <c r="P7" s="80">
        <v>13610.2</v>
      </c>
      <c r="Q7" s="80">
        <v>14085.2</v>
      </c>
      <c r="R7" s="80">
        <v>16032.4</v>
      </c>
      <c r="S7" s="80">
        <v>16082.1</v>
      </c>
      <c r="T7" s="80">
        <v>16082.1</v>
      </c>
      <c r="U7" s="80">
        <v>16082.1</v>
      </c>
      <c r="V7" s="80">
        <v>16638.8</v>
      </c>
      <c r="W7" s="80">
        <v>17238.5</v>
      </c>
      <c r="X7" s="80">
        <v>18105.2</v>
      </c>
      <c r="Y7" s="80">
        <v>18022.599999999999</v>
      </c>
      <c r="Z7" s="80">
        <v>17015.5</v>
      </c>
      <c r="AA7" s="80">
        <v>18030.5</v>
      </c>
      <c r="AB7" s="80">
        <v>17985.8</v>
      </c>
      <c r="AC7" s="80">
        <v>18260.400000000001</v>
      </c>
      <c r="AD7" s="80">
        <v>18260.400000000001</v>
      </c>
      <c r="AE7" s="80">
        <v>17781</v>
      </c>
      <c r="AF7" s="80">
        <f t="shared" si="3"/>
        <v>0</v>
      </c>
      <c r="AG7" s="80">
        <f t="shared" si="4"/>
        <v>100</v>
      </c>
      <c r="AH7" s="80">
        <f t="shared" si="5"/>
        <v>-479.40000000000146</v>
      </c>
      <c r="AI7" s="80">
        <f t="shared" si="6"/>
        <v>97.374646776631394</v>
      </c>
      <c r="AJ7" s="80">
        <f t="shared" si="7"/>
        <v>106.86467774118327</v>
      </c>
      <c r="AK7" s="80">
        <f t="shared" si="8"/>
        <v>97.374646776631394</v>
      </c>
      <c r="AL7" s="80">
        <f t="shared" si="9"/>
        <v>110.56391889118957</v>
      </c>
      <c r="AM7" s="80">
        <f t="shared" si="10"/>
        <v>1621.6000000000022</v>
      </c>
      <c r="AN7" s="80">
        <f t="shared" si="11"/>
        <v>109.74589513666852</v>
      </c>
      <c r="AO7" s="80">
        <f t="shared" si="12"/>
        <v>1621.6000000000022</v>
      </c>
      <c r="AP7" s="80">
        <f t="shared" si="13"/>
        <v>109.74589513666852</v>
      </c>
      <c r="AQ7" s="80">
        <f t="shared" si="14"/>
        <v>17.277062637003873</v>
      </c>
      <c r="AR7" s="80">
        <v>18704.400000000001</v>
      </c>
      <c r="AS7" s="80">
        <v>18704.400000000001</v>
      </c>
      <c r="AT7" s="80">
        <v>18704.400000000001</v>
      </c>
    </row>
    <row r="8" spans="1:46" ht="67.5" x14ac:dyDescent="0.2">
      <c r="A8" s="74" t="s">
        <v>321</v>
      </c>
      <c r="B8" s="75" t="s">
        <v>310</v>
      </c>
      <c r="C8" s="75" t="s">
        <v>322</v>
      </c>
      <c r="D8" s="75"/>
      <c r="E8" s="76"/>
      <c r="F8" s="77"/>
      <c r="G8" s="78"/>
      <c r="H8" s="78"/>
      <c r="I8" s="78"/>
      <c r="J8" s="77"/>
      <c r="K8" s="79"/>
      <c r="L8" s="79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>
        <v>56.2</v>
      </c>
      <c r="Y8" s="80">
        <v>56.2</v>
      </c>
      <c r="Z8" s="80">
        <v>56.2</v>
      </c>
      <c r="AA8" s="80">
        <v>56.2</v>
      </c>
      <c r="AB8" s="80">
        <v>56.2</v>
      </c>
      <c r="AC8" s="80">
        <v>56.2</v>
      </c>
      <c r="AD8" s="80">
        <v>56.2</v>
      </c>
      <c r="AE8" s="80">
        <v>56.2</v>
      </c>
      <c r="AF8" s="80">
        <f t="shared" si="3"/>
        <v>0</v>
      </c>
      <c r="AG8" s="80">
        <f t="shared" si="4"/>
        <v>100</v>
      </c>
      <c r="AH8" s="80">
        <f t="shared" si="5"/>
        <v>0</v>
      </c>
      <c r="AI8" s="80">
        <f t="shared" si="6"/>
        <v>100</v>
      </c>
      <c r="AJ8" s="80"/>
      <c r="AK8" s="80">
        <f t="shared" si="8"/>
        <v>100</v>
      </c>
      <c r="AL8" s="80"/>
      <c r="AM8" s="80">
        <f t="shared" si="10"/>
        <v>56.2</v>
      </c>
      <c r="AN8" s="80"/>
      <c r="AO8" s="80">
        <f t="shared" si="12"/>
        <v>56.2</v>
      </c>
      <c r="AP8" s="80"/>
      <c r="AQ8" s="80">
        <f t="shared" si="14"/>
        <v>5.4607216703201039E-2</v>
      </c>
      <c r="AR8" s="80">
        <v>56.2</v>
      </c>
      <c r="AS8" s="80"/>
      <c r="AT8" s="80"/>
    </row>
    <row r="9" spans="1:46" ht="24" customHeight="1" x14ac:dyDescent="0.2">
      <c r="A9" s="74" t="s">
        <v>323</v>
      </c>
      <c r="B9" s="75" t="s">
        <v>310</v>
      </c>
      <c r="C9" s="75" t="s">
        <v>324</v>
      </c>
      <c r="D9" s="75" t="s">
        <v>325</v>
      </c>
      <c r="E9" s="76">
        <v>0</v>
      </c>
      <c r="F9" s="78">
        <f>625.8+417.2</f>
        <v>1043</v>
      </c>
      <c r="G9" s="78">
        <v>0</v>
      </c>
      <c r="H9" s="78">
        <v>0</v>
      </c>
      <c r="I9" s="78"/>
      <c r="J9" s="77">
        <v>0</v>
      </c>
      <c r="K9" s="79">
        <v>1188.4000000000001</v>
      </c>
      <c r="L9" s="79">
        <v>0</v>
      </c>
      <c r="M9" s="80"/>
      <c r="N9" s="80"/>
      <c r="O9" s="80"/>
      <c r="P9" s="80"/>
      <c r="Q9" s="80"/>
      <c r="R9" s="80"/>
      <c r="S9" s="80"/>
      <c r="T9" s="80"/>
      <c r="U9" s="80"/>
      <c r="V9" s="80">
        <v>1580.3</v>
      </c>
      <c r="W9" s="80">
        <v>1580.3</v>
      </c>
      <c r="X9" s="80">
        <v>1580.3</v>
      </c>
      <c r="Y9" s="80">
        <v>2403.1999999999998</v>
      </c>
      <c r="Z9" s="80">
        <v>2403.1999999999998</v>
      </c>
      <c r="AA9" s="80">
        <v>2403.1999999999998</v>
      </c>
      <c r="AB9" s="80">
        <v>2403.1999999999998</v>
      </c>
      <c r="AC9" s="80">
        <v>2403.1999999999998</v>
      </c>
      <c r="AD9" s="80">
        <v>2403.1999999999998</v>
      </c>
      <c r="AE9" s="80">
        <v>2403.1999999999998</v>
      </c>
      <c r="AF9" s="80">
        <f t="shared" si="3"/>
        <v>0</v>
      </c>
      <c r="AG9" s="80">
        <f t="shared" si="4"/>
        <v>100</v>
      </c>
      <c r="AH9" s="80">
        <f t="shared" si="5"/>
        <v>0</v>
      </c>
      <c r="AI9" s="80">
        <f t="shared" si="6"/>
        <v>100</v>
      </c>
      <c r="AJ9" s="80">
        <f t="shared" si="7"/>
        <v>152.07239131810414</v>
      </c>
      <c r="AK9" s="80">
        <f t="shared" si="8"/>
        <v>100</v>
      </c>
      <c r="AL9" s="80"/>
      <c r="AM9" s="80">
        <f t="shared" si="10"/>
        <v>822.89999999999986</v>
      </c>
      <c r="AN9" s="80">
        <f t="shared" si="11"/>
        <v>152.07239131810414</v>
      </c>
      <c r="AO9" s="80">
        <f t="shared" si="12"/>
        <v>822.89999999999986</v>
      </c>
      <c r="AP9" s="80">
        <f t="shared" si="13"/>
        <v>152.07239131810414</v>
      </c>
      <c r="AQ9" s="80">
        <f t="shared" si="14"/>
        <v>2.3350900921909736</v>
      </c>
      <c r="AR9" s="80"/>
      <c r="AS9" s="80"/>
      <c r="AT9" s="80"/>
    </row>
    <row r="10" spans="1:46" ht="15.75" customHeight="1" x14ac:dyDescent="0.2">
      <c r="A10" s="74" t="s">
        <v>326</v>
      </c>
      <c r="B10" s="75" t="s">
        <v>310</v>
      </c>
      <c r="C10" s="75" t="s">
        <v>327</v>
      </c>
      <c r="D10" s="75" t="s">
        <v>325</v>
      </c>
      <c r="E10" s="76">
        <v>0</v>
      </c>
      <c r="F10" s="78">
        <v>0</v>
      </c>
      <c r="G10" s="78">
        <v>0</v>
      </c>
      <c r="H10" s="78">
        <v>0</v>
      </c>
      <c r="I10" s="78">
        <v>0</v>
      </c>
      <c r="J10" s="77">
        <v>0</v>
      </c>
      <c r="K10" s="79">
        <v>0</v>
      </c>
      <c r="L10" s="79">
        <v>0</v>
      </c>
      <c r="M10" s="80">
        <v>0</v>
      </c>
      <c r="N10" s="80">
        <v>0</v>
      </c>
      <c r="O10" s="80">
        <v>88</v>
      </c>
      <c r="P10" s="80">
        <v>88</v>
      </c>
      <c r="Q10" s="80">
        <v>88</v>
      </c>
      <c r="R10" s="80">
        <v>88</v>
      </c>
      <c r="S10" s="80">
        <v>88</v>
      </c>
      <c r="T10" s="80">
        <v>88</v>
      </c>
      <c r="U10" s="80">
        <v>0</v>
      </c>
      <c r="V10" s="80">
        <v>140.5</v>
      </c>
      <c r="W10" s="80">
        <v>140.5</v>
      </c>
      <c r="X10" s="80">
        <v>140.5</v>
      </c>
      <c r="Y10" s="80">
        <v>140.5</v>
      </c>
      <c r="Z10" s="80">
        <v>140.5</v>
      </c>
      <c r="AA10" s="80">
        <v>140.5</v>
      </c>
      <c r="AB10" s="80">
        <v>0</v>
      </c>
      <c r="AC10" s="80">
        <v>140.5</v>
      </c>
      <c r="AD10" s="80">
        <v>140.5</v>
      </c>
      <c r="AE10" s="80">
        <v>0</v>
      </c>
      <c r="AF10" s="80">
        <f t="shared" si="3"/>
        <v>0</v>
      </c>
      <c r="AG10" s="80">
        <f t="shared" si="4"/>
        <v>100</v>
      </c>
      <c r="AH10" s="80">
        <f t="shared" si="5"/>
        <v>-140.5</v>
      </c>
      <c r="AI10" s="80">
        <f t="shared" si="6"/>
        <v>0</v>
      </c>
      <c r="AJ10" s="80">
        <f t="shared" si="7"/>
        <v>0</v>
      </c>
      <c r="AK10" s="80">
        <f t="shared" si="8"/>
        <v>0</v>
      </c>
      <c r="AL10" s="80"/>
      <c r="AM10" s="80">
        <f t="shared" si="10"/>
        <v>0</v>
      </c>
      <c r="AN10" s="80">
        <f t="shared" si="11"/>
        <v>100</v>
      </c>
      <c r="AO10" s="80">
        <f t="shared" si="12"/>
        <v>0</v>
      </c>
      <c r="AP10" s="80">
        <f t="shared" si="13"/>
        <v>100</v>
      </c>
      <c r="AQ10" s="80">
        <f t="shared" si="14"/>
        <v>0</v>
      </c>
      <c r="AR10" s="80">
        <v>138</v>
      </c>
      <c r="AS10" s="80">
        <v>138</v>
      </c>
      <c r="AT10" s="80">
        <v>138</v>
      </c>
    </row>
    <row r="11" spans="1:46" ht="29.25" customHeight="1" x14ac:dyDescent="0.2">
      <c r="A11" s="74" t="s">
        <v>328</v>
      </c>
      <c r="B11" s="75" t="s">
        <v>310</v>
      </c>
      <c r="C11" s="75" t="s">
        <v>329</v>
      </c>
      <c r="D11" s="75" t="s">
        <v>330</v>
      </c>
      <c r="E11" s="76">
        <v>8852.9599999999991</v>
      </c>
      <c r="F11" s="77">
        <f>99.986+421.716+491.985+117.179+108.7+53</f>
        <v>1292.566</v>
      </c>
      <c r="G11" s="78">
        <v>1603.5</v>
      </c>
      <c r="H11" s="78">
        <v>3638.7</v>
      </c>
      <c r="I11" s="78">
        <v>2612.6</v>
      </c>
      <c r="J11" s="77">
        <v>2078.1999999999998</v>
      </c>
      <c r="K11" s="79">
        <v>5778.3</v>
      </c>
      <c r="L11" s="79">
        <v>4555.7</v>
      </c>
      <c r="M11" s="80">
        <v>10716.5</v>
      </c>
      <c r="N11" s="80">
        <v>6826.2</v>
      </c>
      <c r="O11" s="80">
        <v>1724.4</v>
      </c>
      <c r="P11" s="80">
        <v>4395.3</v>
      </c>
      <c r="Q11" s="80">
        <v>6036.1</v>
      </c>
      <c r="R11" s="80">
        <v>6281.2</v>
      </c>
      <c r="S11" s="80">
        <v>7063.4</v>
      </c>
      <c r="T11" s="80">
        <v>7063.4</v>
      </c>
      <c r="U11" s="80">
        <v>7058</v>
      </c>
      <c r="V11" s="80">
        <v>2754.7</v>
      </c>
      <c r="W11" s="80">
        <v>4297.7</v>
      </c>
      <c r="X11" s="80">
        <v>5089.2</v>
      </c>
      <c r="Y11" s="80">
        <v>5275.8</v>
      </c>
      <c r="Z11" s="80">
        <v>5717.4</v>
      </c>
      <c r="AA11" s="80">
        <v>5883.4</v>
      </c>
      <c r="AB11" s="80">
        <v>5902.5</v>
      </c>
      <c r="AC11" s="80">
        <v>5883.4</v>
      </c>
      <c r="AD11" s="80">
        <v>5883.4</v>
      </c>
      <c r="AE11" s="80">
        <v>5182.3999999999996</v>
      </c>
      <c r="AF11" s="80">
        <f t="shared" si="3"/>
        <v>0</v>
      </c>
      <c r="AG11" s="80">
        <f t="shared" si="4"/>
        <v>100</v>
      </c>
      <c r="AH11" s="80">
        <f t="shared" si="5"/>
        <v>-701</v>
      </c>
      <c r="AI11" s="80">
        <f t="shared" si="6"/>
        <v>88.08512084848897</v>
      </c>
      <c r="AJ11" s="80">
        <f t="shared" si="7"/>
        <v>188.12937887973283</v>
      </c>
      <c r="AK11" s="80">
        <f t="shared" si="8"/>
        <v>88.08512084848897</v>
      </c>
      <c r="AL11" s="80">
        <f t="shared" si="9"/>
        <v>73.425899688296965</v>
      </c>
      <c r="AM11" s="80">
        <f t="shared" si="10"/>
        <v>3128.7</v>
      </c>
      <c r="AN11" s="80">
        <f t="shared" si="11"/>
        <v>213.57679602134533</v>
      </c>
      <c r="AO11" s="80">
        <f t="shared" si="12"/>
        <v>3128.7</v>
      </c>
      <c r="AP11" s="80">
        <f t="shared" si="13"/>
        <v>213.57679602134533</v>
      </c>
      <c r="AQ11" s="80">
        <f t="shared" si="14"/>
        <v>5.0355238406168867</v>
      </c>
      <c r="AR11" s="80">
        <v>2955.5</v>
      </c>
      <c r="AS11" s="80">
        <v>4442.8</v>
      </c>
      <c r="AT11" s="80">
        <v>5874</v>
      </c>
    </row>
    <row r="12" spans="1:46" s="73" customFormat="1" ht="15.75" customHeight="1" x14ac:dyDescent="0.15">
      <c r="A12" s="70" t="s">
        <v>331</v>
      </c>
      <c r="B12" s="71" t="s">
        <v>316</v>
      </c>
      <c r="C12" s="71"/>
      <c r="D12" s="81" t="str">
        <f t="shared" ref="D12:R12" si="15">D13</f>
        <v>356</v>
      </c>
      <c r="E12" s="81">
        <f t="shared" si="15"/>
        <v>357</v>
      </c>
      <c r="F12" s="81">
        <f t="shared" si="15"/>
        <v>400.84399999999999</v>
      </c>
      <c r="G12" s="81">
        <f t="shared" si="15"/>
        <v>780</v>
      </c>
      <c r="H12" s="81">
        <f t="shared" si="15"/>
        <v>610.4</v>
      </c>
      <c r="I12" s="81">
        <f t="shared" si="15"/>
        <v>552</v>
      </c>
      <c r="J12" s="72">
        <f t="shared" si="15"/>
        <v>378.2</v>
      </c>
      <c r="K12" s="72">
        <f t="shared" si="15"/>
        <v>393.8</v>
      </c>
      <c r="L12" s="72">
        <f t="shared" si="15"/>
        <v>435.5</v>
      </c>
      <c r="M12" s="72">
        <f t="shared" si="15"/>
        <v>481</v>
      </c>
      <c r="N12" s="72">
        <f t="shared" si="15"/>
        <v>524.1</v>
      </c>
      <c r="O12" s="72">
        <f t="shared" si="15"/>
        <v>493.8</v>
      </c>
      <c r="P12" s="72">
        <f t="shared" si="15"/>
        <v>493.8</v>
      </c>
      <c r="Q12" s="72">
        <f t="shared" si="15"/>
        <v>493.8</v>
      </c>
      <c r="R12" s="72">
        <f t="shared" si="15"/>
        <v>578.5</v>
      </c>
      <c r="S12" s="72">
        <f>S13</f>
        <v>578.5</v>
      </c>
      <c r="T12" s="72">
        <f t="shared" ref="T12:Z12" si="16">T13</f>
        <v>578.5</v>
      </c>
      <c r="U12" s="72">
        <f t="shared" si="16"/>
        <v>578.5</v>
      </c>
      <c r="V12" s="72">
        <f t="shared" si="16"/>
        <v>594.70000000000005</v>
      </c>
      <c r="W12" s="72">
        <f t="shared" si="16"/>
        <v>594.70000000000005</v>
      </c>
      <c r="X12" s="72">
        <f t="shared" si="16"/>
        <v>594.70000000000005</v>
      </c>
      <c r="Y12" s="72">
        <f t="shared" si="16"/>
        <v>594.70000000000005</v>
      </c>
      <c r="Z12" s="72">
        <f t="shared" si="16"/>
        <v>594.70000000000005</v>
      </c>
      <c r="AA12" s="72">
        <f>AA13</f>
        <v>594.70000000000005</v>
      </c>
      <c r="AB12" s="72">
        <f t="shared" ref="AB12:AT12" si="17">AB13</f>
        <v>594.70000000000005</v>
      </c>
      <c r="AC12" s="72">
        <f>AC13</f>
        <v>617.9</v>
      </c>
      <c r="AD12" s="72">
        <f>AD13</f>
        <v>617.9</v>
      </c>
      <c r="AE12" s="72">
        <f>AE13</f>
        <v>617.9</v>
      </c>
      <c r="AF12" s="72">
        <f t="shared" si="3"/>
        <v>0</v>
      </c>
      <c r="AG12" s="72">
        <f t="shared" si="4"/>
        <v>100</v>
      </c>
      <c r="AH12" s="72">
        <f t="shared" si="5"/>
        <v>0</v>
      </c>
      <c r="AI12" s="72">
        <f t="shared" si="6"/>
        <v>100</v>
      </c>
      <c r="AJ12" s="72">
        <f t="shared" si="7"/>
        <v>103.90112661846307</v>
      </c>
      <c r="AK12" s="72">
        <f t="shared" si="8"/>
        <v>100</v>
      </c>
      <c r="AL12" s="72">
        <f t="shared" si="9"/>
        <v>106.81071737251513</v>
      </c>
      <c r="AM12" s="72">
        <f t="shared" si="10"/>
        <v>23.199999999999932</v>
      </c>
      <c r="AN12" s="72">
        <f t="shared" si="11"/>
        <v>103.90112661846307</v>
      </c>
      <c r="AO12" s="72">
        <f t="shared" si="12"/>
        <v>23.199999999999932</v>
      </c>
      <c r="AP12" s="72">
        <f t="shared" si="13"/>
        <v>103.90112661846307</v>
      </c>
      <c r="AQ12" s="72">
        <f t="shared" si="14"/>
        <v>0.60038788613715166</v>
      </c>
      <c r="AR12" s="72">
        <f>AR13</f>
        <v>700.5</v>
      </c>
      <c r="AS12" s="72">
        <f>AS13</f>
        <v>773.4</v>
      </c>
      <c r="AT12" s="72">
        <f t="shared" si="17"/>
        <v>847.6</v>
      </c>
    </row>
    <row r="13" spans="1:46" ht="26.25" customHeight="1" x14ac:dyDescent="0.2">
      <c r="A13" s="74" t="s">
        <v>332</v>
      </c>
      <c r="B13" s="75" t="s">
        <v>316</v>
      </c>
      <c r="C13" s="75" t="s">
        <v>311</v>
      </c>
      <c r="D13" s="75" t="s">
        <v>333</v>
      </c>
      <c r="E13" s="76">
        <v>357</v>
      </c>
      <c r="F13" s="77">
        <f>335.844+65</f>
        <v>400.84399999999999</v>
      </c>
      <c r="G13" s="78">
        <v>780</v>
      </c>
      <c r="H13" s="78">
        <v>610.4</v>
      </c>
      <c r="I13" s="78">
        <v>552</v>
      </c>
      <c r="J13" s="77">
        <v>378.2</v>
      </c>
      <c r="K13" s="79">
        <v>393.8</v>
      </c>
      <c r="L13" s="79">
        <v>435.5</v>
      </c>
      <c r="M13" s="80">
        <v>481</v>
      </c>
      <c r="N13" s="80">
        <v>524.1</v>
      </c>
      <c r="O13" s="80">
        <v>493.8</v>
      </c>
      <c r="P13" s="80">
        <v>493.8</v>
      </c>
      <c r="Q13" s="80">
        <v>493.8</v>
      </c>
      <c r="R13" s="80">
        <v>578.5</v>
      </c>
      <c r="S13" s="80">
        <v>578.5</v>
      </c>
      <c r="T13" s="80">
        <v>578.5</v>
      </c>
      <c r="U13" s="80">
        <v>578.5</v>
      </c>
      <c r="V13" s="80">
        <v>594.70000000000005</v>
      </c>
      <c r="W13" s="80">
        <v>594.70000000000005</v>
      </c>
      <c r="X13" s="80">
        <v>594.70000000000005</v>
      </c>
      <c r="Y13" s="80">
        <v>594.70000000000005</v>
      </c>
      <c r="Z13" s="80">
        <v>594.70000000000005</v>
      </c>
      <c r="AA13" s="80">
        <v>594.70000000000005</v>
      </c>
      <c r="AB13" s="80">
        <v>594.70000000000005</v>
      </c>
      <c r="AC13" s="80">
        <v>617.9</v>
      </c>
      <c r="AD13" s="80">
        <v>617.9</v>
      </c>
      <c r="AE13" s="80">
        <v>617.9</v>
      </c>
      <c r="AF13" s="80">
        <f t="shared" si="3"/>
        <v>0</v>
      </c>
      <c r="AG13" s="80">
        <f t="shared" si="4"/>
        <v>100</v>
      </c>
      <c r="AH13" s="80">
        <f t="shared" si="5"/>
        <v>0</v>
      </c>
      <c r="AI13" s="80">
        <f t="shared" si="6"/>
        <v>100</v>
      </c>
      <c r="AJ13" s="80">
        <f t="shared" si="7"/>
        <v>103.90112661846307</v>
      </c>
      <c r="AK13" s="80">
        <f t="shared" si="8"/>
        <v>100</v>
      </c>
      <c r="AL13" s="80">
        <f t="shared" si="9"/>
        <v>106.81071737251513</v>
      </c>
      <c r="AM13" s="80">
        <f t="shared" si="10"/>
        <v>23.199999999999932</v>
      </c>
      <c r="AN13" s="80">
        <f t="shared" si="11"/>
        <v>103.90112661846307</v>
      </c>
      <c r="AO13" s="80">
        <f t="shared" si="12"/>
        <v>23.199999999999932</v>
      </c>
      <c r="AP13" s="80">
        <f t="shared" si="13"/>
        <v>103.90112661846307</v>
      </c>
      <c r="AQ13" s="80">
        <f t="shared" si="14"/>
        <v>0.60038788613715166</v>
      </c>
      <c r="AR13" s="80">
        <v>700.5</v>
      </c>
      <c r="AS13" s="80">
        <v>773.4</v>
      </c>
      <c r="AT13" s="80">
        <v>847.6</v>
      </c>
    </row>
    <row r="14" spans="1:46" s="73" customFormat="1" ht="46.5" customHeight="1" x14ac:dyDescent="0.15">
      <c r="A14" s="70" t="s">
        <v>334</v>
      </c>
      <c r="B14" s="71" t="s">
        <v>311</v>
      </c>
      <c r="C14" s="71"/>
      <c r="D14" s="81">
        <f t="shared" ref="D14:I14" si="18">D16+D15</f>
        <v>194.18600000000001</v>
      </c>
      <c r="E14" s="81">
        <f t="shared" si="18"/>
        <v>139.65</v>
      </c>
      <c r="F14" s="72">
        <f t="shared" si="18"/>
        <v>349.44200000000001</v>
      </c>
      <c r="G14" s="72">
        <f t="shared" si="18"/>
        <v>351</v>
      </c>
      <c r="H14" s="72">
        <f t="shared" si="18"/>
        <v>481.8</v>
      </c>
      <c r="I14" s="72">
        <f t="shared" si="18"/>
        <v>626</v>
      </c>
      <c r="J14" s="72">
        <f t="shared" ref="J14:M14" si="19">J16+J15+J18</f>
        <v>723.8</v>
      </c>
      <c r="K14" s="72">
        <f t="shared" si="19"/>
        <v>303.3</v>
      </c>
      <c r="L14" s="72">
        <f t="shared" si="19"/>
        <v>307.70000000000005</v>
      </c>
      <c r="M14" s="72">
        <f t="shared" si="19"/>
        <v>2318.7000000000003</v>
      </c>
      <c r="N14" s="72">
        <f t="shared" ref="N14" si="20">N16+N15+N18+N17</f>
        <v>1479.8</v>
      </c>
      <c r="O14" s="72">
        <f>O16+O15+O18+O17</f>
        <v>486</v>
      </c>
      <c r="P14" s="72">
        <f t="shared" ref="P14:U14" si="21">P16+P15+P18+P17</f>
        <v>486</v>
      </c>
      <c r="Q14" s="72">
        <f t="shared" si="21"/>
        <v>486</v>
      </c>
      <c r="R14" s="72">
        <f t="shared" si="21"/>
        <v>781</v>
      </c>
      <c r="S14" s="72">
        <f t="shared" si="21"/>
        <v>900.5</v>
      </c>
      <c r="T14" s="72">
        <f t="shared" si="21"/>
        <v>900.3</v>
      </c>
      <c r="U14" s="72">
        <f t="shared" si="21"/>
        <v>800.3</v>
      </c>
      <c r="V14" s="72">
        <f t="shared" ref="V14:Z14" si="22">V15+V17+V18</f>
        <v>459.9</v>
      </c>
      <c r="W14" s="72">
        <f t="shared" si="22"/>
        <v>559.9</v>
      </c>
      <c r="X14" s="72">
        <f t="shared" si="22"/>
        <v>574.19999999999993</v>
      </c>
      <c r="Y14" s="72">
        <f t="shared" si="22"/>
        <v>574.19999999999993</v>
      </c>
      <c r="Z14" s="72">
        <f t="shared" si="22"/>
        <v>574.19999999999993</v>
      </c>
      <c r="AA14" s="72">
        <f>AA15+AA17+AA18</f>
        <v>574.19999999999993</v>
      </c>
      <c r="AB14" s="72">
        <f t="shared" ref="AB14" si="23">AB15+AB17+AB18</f>
        <v>574.19999999999993</v>
      </c>
      <c r="AC14" s="72">
        <f>AC15+AC17+AC18</f>
        <v>574.19999999999993</v>
      </c>
      <c r="AD14" s="72">
        <f>AD15+AD17+AD18</f>
        <v>574.19999999999993</v>
      </c>
      <c r="AE14" s="72">
        <f>AE15+AE17+AE18</f>
        <v>361</v>
      </c>
      <c r="AF14" s="72">
        <f t="shared" si="3"/>
        <v>0</v>
      </c>
      <c r="AG14" s="72">
        <f t="shared" si="4"/>
        <v>100</v>
      </c>
      <c r="AH14" s="72">
        <f t="shared" si="5"/>
        <v>-213.19999999999993</v>
      </c>
      <c r="AI14" s="72">
        <f t="shared" si="6"/>
        <v>62.870080111459423</v>
      </c>
      <c r="AJ14" s="72">
        <f t="shared" si="7"/>
        <v>78.495325070667548</v>
      </c>
      <c r="AK14" s="72">
        <f t="shared" si="8"/>
        <v>62.870080111459423</v>
      </c>
      <c r="AL14" s="72">
        <f t="shared" si="9"/>
        <v>45.108084468324385</v>
      </c>
      <c r="AM14" s="72">
        <f t="shared" si="10"/>
        <v>114.29999999999995</v>
      </c>
      <c r="AN14" s="72">
        <f t="shared" si="11"/>
        <v>124.85322896281798</v>
      </c>
      <c r="AO14" s="72">
        <f t="shared" si="12"/>
        <v>114.29999999999995</v>
      </c>
      <c r="AP14" s="72">
        <f t="shared" si="13"/>
        <v>124.85322896281798</v>
      </c>
      <c r="AQ14" s="72">
        <f t="shared" si="14"/>
        <v>0.35076877633194975</v>
      </c>
      <c r="AR14" s="72">
        <f>AR15+AR17+AR18</f>
        <v>330.79999999999995</v>
      </c>
      <c r="AS14" s="72">
        <f t="shared" ref="AS14:AT14" si="24">AS15+AS17+AS18</f>
        <v>331.09999999999997</v>
      </c>
      <c r="AT14" s="72">
        <f t="shared" si="24"/>
        <v>330.79999999999995</v>
      </c>
    </row>
    <row r="15" spans="1:46" ht="15.75" customHeight="1" x14ac:dyDescent="0.2">
      <c r="A15" s="82" t="s">
        <v>335</v>
      </c>
      <c r="B15" s="75" t="s">
        <v>311</v>
      </c>
      <c r="C15" s="75" t="s">
        <v>319</v>
      </c>
      <c r="D15" s="75"/>
      <c r="E15" s="76">
        <v>26</v>
      </c>
      <c r="F15" s="77">
        <f>42.742+14.057+7.109+13+8.09+1.5+15.597+7.8+1.603</f>
        <v>111.49799999999999</v>
      </c>
      <c r="G15" s="78">
        <v>99</v>
      </c>
      <c r="H15" s="78">
        <v>88</v>
      </c>
      <c r="I15" s="78">
        <v>101</v>
      </c>
      <c r="J15" s="77">
        <v>97</v>
      </c>
      <c r="K15" s="79">
        <v>100</v>
      </c>
      <c r="L15" s="79">
        <v>113.1</v>
      </c>
      <c r="M15" s="80">
        <v>109.9</v>
      </c>
      <c r="N15" s="80">
        <v>100.6</v>
      </c>
      <c r="O15" s="80">
        <v>103.9</v>
      </c>
      <c r="P15" s="80">
        <v>103.9</v>
      </c>
      <c r="Q15" s="80">
        <v>103.9</v>
      </c>
      <c r="R15" s="80">
        <v>103.9</v>
      </c>
      <c r="S15" s="80">
        <v>103.9</v>
      </c>
      <c r="T15" s="80">
        <v>103.9</v>
      </c>
      <c r="U15" s="80">
        <v>103.9</v>
      </c>
      <c r="V15" s="80">
        <v>116.8</v>
      </c>
      <c r="W15" s="80">
        <v>116.8</v>
      </c>
      <c r="X15" s="80">
        <v>131.1</v>
      </c>
      <c r="Y15" s="80">
        <v>131.1</v>
      </c>
      <c r="Z15" s="80">
        <v>131.1</v>
      </c>
      <c r="AA15" s="80">
        <v>131.1</v>
      </c>
      <c r="AB15" s="80">
        <v>131.1</v>
      </c>
      <c r="AC15" s="80">
        <v>131.1</v>
      </c>
      <c r="AD15" s="80">
        <v>131.1</v>
      </c>
      <c r="AE15" s="80">
        <v>131.1</v>
      </c>
      <c r="AF15" s="80">
        <f t="shared" si="3"/>
        <v>0</v>
      </c>
      <c r="AG15" s="80">
        <f t="shared" si="4"/>
        <v>100</v>
      </c>
      <c r="AH15" s="80">
        <f t="shared" si="5"/>
        <v>0</v>
      </c>
      <c r="AI15" s="80">
        <f t="shared" si="6"/>
        <v>100</v>
      </c>
      <c r="AJ15" s="80">
        <f t="shared" si="7"/>
        <v>112.24315068493152</v>
      </c>
      <c r="AK15" s="80">
        <f t="shared" si="8"/>
        <v>100</v>
      </c>
      <c r="AL15" s="80">
        <f t="shared" si="9"/>
        <v>126.17901828681424</v>
      </c>
      <c r="AM15" s="80">
        <f t="shared" si="10"/>
        <v>14.299999999999997</v>
      </c>
      <c r="AN15" s="80">
        <f t="shared" si="11"/>
        <v>112.24315068493152</v>
      </c>
      <c r="AO15" s="80">
        <f t="shared" si="12"/>
        <v>14.299999999999997</v>
      </c>
      <c r="AP15" s="80">
        <f t="shared" si="13"/>
        <v>112.24315068493152</v>
      </c>
      <c r="AQ15" s="80">
        <f t="shared" si="14"/>
        <v>0.12738445035212911</v>
      </c>
      <c r="AR15" s="80">
        <v>143.6</v>
      </c>
      <c r="AS15" s="80">
        <v>143.6</v>
      </c>
      <c r="AT15" s="80">
        <v>143.6</v>
      </c>
    </row>
    <row r="16" spans="1:46" ht="15.75" hidden="1" customHeight="1" x14ac:dyDescent="0.2">
      <c r="A16" s="83" t="s">
        <v>336</v>
      </c>
      <c r="B16" s="75" t="s">
        <v>311</v>
      </c>
      <c r="C16" s="75" t="s">
        <v>337</v>
      </c>
      <c r="D16" s="75" t="s">
        <v>338</v>
      </c>
      <c r="E16" s="76">
        <v>113.65</v>
      </c>
      <c r="F16" s="77">
        <f>73.727+38.52+12.96+11.465+24.982+61.06+15.23</f>
        <v>237.94400000000002</v>
      </c>
      <c r="G16" s="78">
        <v>252</v>
      </c>
      <c r="H16" s="78">
        <v>393.8</v>
      </c>
      <c r="I16" s="78">
        <v>525</v>
      </c>
      <c r="J16" s="77">
        <v>515.4</v>
      </c>
      <c r="K16" s="79">
        <v>127.5</v>
      </c>
      <c r="L16" s="79">
        <v>105.7</v>
      </c>
      <c r="M16" s="80">
        <v>2124.5</v>
      </c>
      <c r="N16" s="80">
        <v>35</v>
      </c>
      <c r="O16" s="80">
        <v>0</v>
      </c>
      <c r="P16" s="80">
        <v>0</v>
      </c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>
        <f t="shared" ref="AB16:AB46" si="25">AA16-Z16</f>
        <v>0</v>
      </c>
      <c r="AC16" s="80"/>
      <c r="AD16" s="80"/>
      <c r="AE16" s="80"/>
      <c r="AF16" s="80">
        <f t="shared" si="3"/>
        <v>0</v>
      </c>
      <c r="AG16" s="80" t="e">
        <f t="shared" si="4"/>
        <v>#DIV/0!</v>
      </c>
      <c r="AH16" s="80">
        <f t="shared" si="5"/>
        <v>0</v>
      </c>
      <c r="AI16" s="80" t="e">
        <f t="shared" si="6"/>
        <v>#DIV/0!</v>
      </c>
      <c r="AJ16" s="80" t="e">
        <f t="shared" si="7"/>
        <v>#DIV/0!</v>
      </c>
      <c r="AK16" s="80" t="e">
        <f t="shared" si="8"/>
        <v>#DIV/0!</v>
      </c>
      <c r="AL16" s="80" t="e">
        <f t="shared" si="9"/>
        <v>#DIV/0!</v>
      </c>
      <c r="AM16" s="80">
        <f t="shared" si="10"/>
        <v>0</v>
      </c>
      <c r="AN16" s="80" t="e">
        <f t="shared" si="11"/>
        <v>#DIV/0!</v>
      </c>
      <c r="AO16" s="80">
        <f t="shared" si="12"/>
        <v>0</v>
      </c>
      <c r="AP16" s="80" t="e">
        <f t="shared" si="13"/>
        <v>#DIV/0!</v>
      </c>
      <c r="AQ16" s="80">
        <f t="shared" si="14"/>
        <v>0</v>
      </c>
      <c r="AR16" s="80"/>
      <c r="AS16" s="80"/>
      <c r="AT16" s="80"/>
    </row>
    <row r="17" spans="1:46" ht="63.75" customHeight="1" x14ac:dyDescent="0.2">
      <c r="A17" s="83" t="s">
        <v>339</v>
      </c>
      <c r="B17" s="75" t="s">
        <v>311</v>
      </c>
      <c r="C17" s="75" t="s">
        <v>312</v>
      </c>
      <c r="D17" s="75"/>
      <c r="E17" s="76"/>
      <c r="F17" s="77"/>
      <c r="G17" s="78"/>
      <c r="H17" s="78"/>
      <c r="I17" s="78"/>
      <c r="J17" s="77"/>
      <c r="K17" s="79"/>
      <c r="L17" s="79"/>
      <c r="M17" s="80"/>
      <c r="N17" s="80">
        <v>1258.5</v>
      </c>
      <c r="O17" s="80">
        <v>298.7</v>
      </c>
      <c r="P17" s="80">
        <v>298.7</v>
      </c>
      <c r="Q17" s="80">
        <v>298.7</v>
      </c>
      <c r="R17" s="80">
        <v>593.70000000000005</v>
      </c>
      <c r="S17" s="80">
        <v>713.2</v>
      </c>
      <c r="T17" s="80">
        <v>713</v>
      </c>
      <c r="U17" s="80">
        <v>613</v>
      </c>
      <c r="V17" s="80">
        <v>298.7</v>
      </c>
      <c r="W17" s="80">
        <v>398.7</v>
      </c>
      <c r="X17" s="80">
        <v>398.7</v>
      </c>
      <c r="Y17" s="80">
        <v>398.7</v>
      </c>
      <c r="Z17" s="80">
        <v>398.7</v>
      </c>
      <c r="AA17" s="80">
        <v>398.7</v>
      </c>
      <c r="AB17" s="80">
        <v>398.7</v>
      </c>
      <c r="AC17" s="80">
        <v>398.7</v>
      </c>
      <c r="AD17" s="80">
        <v>398.7</v>
      </c>
      <c r="AE17" s="80">
        <v>185.5</v>
      </c>
      <c r="AF17" s="80">
        <f t="shared" si="3"/>
        <v>0</v>
      </c>
      <c r="AG17" s="80">
        <f t="shared" si="4"/>
        <v>100</v>
      </c>
      <c r="AH17" s="80">
        <f t="shared" si="5"/>
        <v>-213.2</v>
      </c>
      <c r="AI17" s="80">
        <f t="shared" si="6"/>
        <v>46.52621018309506</v>
      </c>
      <c r="AJ17" s="80">
        <f t="shared" si="7"/>
        <v>62.102443923669234</v>
      </c>
      <c r="AK17" s="80">
        <f t="shared" si="8"/>
        <v>46.52621018309506</v>
      </c>
      <c r="AL17" s="80">
        <f t="shared" si="9"/>
        <v>30.261011419249595</v>
      </c>
      <c r="AM17" s="80">
        <f t="shared" si="10"/>
        <v>100</v>
      </c>
      <c r="AN17" s="80">
        <f t="shared" si="11"/>
        <v>133.47840642785405</v>
      </c>
      <c r="AO17" s="80">
        <f t="shared" si="12"/>
        <v>100</v>
      </c>
      <c r="AP17" s="80">
        <f t="shared" si="13"/>
        <v>133.47840642785405</v>
      </c>
      <c r="AQ17" s="80">
        <f t="shared" si="14"/>
        <v>0.18024268146697139</v>
      </c>
      <c r="AR17" s="80">
        <v>134.19999999999999</v>
      </c>
      <c r="AS17" s="80">
        <v>134.19999999999999</v>
      </c>
      <c r="AT17" s="80">
        <v>134.19999999999999</v>
      </c>
    </row>
    <row r="18" spans="1:46" ht="48" customHeight="1" x14ac:dyDescent="0.2">
      <c r="A18" s="83" t="s">
        <v>340</v>
      </c>
      <c r="B18" s="75" t="s">
        <v>311</v>
      </c>
      <c r="C18" s="75" t="s">
        <v>341</v>
      </c>
      <c r="D18" s="75"/>
      <c r="E18" s="76"/>
      <c r="F18" s="77"/>
      <c r="G18" s="78"/>
      <c r="H18" s="78"/>
      <c r="I18" s="78"/>
      <c r="J18" s="77">
        <v>111.4</v>
      </c>
      <c r="K18" s="79">
        <v>75.8</v>
      </c>
      <c r="L18" s="79">
        <v>88.9</v>
      </c>
      <c r="M18" s="80">
        <v>84.3</v>
      </c>
      <c r="N18" s="80">
        <v>85.7</v>
      </c>
      <c r="O18" s="80">
        <v>83.4</v>
      </c>
      <c r="P18" s="80">
        <v>83.4</v>
      </c>
      <c r="Q18" s="80">
        <v>83.4</v>
      </c>
      <c r="R18" s="80">
        <v>83.4</v>
      </c>
      <c r="S18" s="80">
        <v>83.4</v>
      </c>
      <c r="T18" s="80">
        <v>83.4</v>
      </c>
      <c r="U18" s="80">
        <v>83.4</v>
      </c>
      <c r="V18" s="80">
        <v>44.4</v>
      </c>
      <c r="W18" s="80">
        <v>44.4</v>
      </c>
      <c r="X18" s="80">
        <v>44.4</v>
      </c>
      <c r="Y18" s="80">
        <v>44.4</v>
      </c>
      <c r="Z18" s="80">
        <v>44.4</v>
      </c>
      <c r="AA18" s="80">
        <v>44.4</v>
      </c>
      <c r="AB18" s="80">
        <v>44.4</v>
      </c>
      <c r="AC18" s="80">
        <v>44.4</v>
      </c>
      <c r="AD18" s="80">
        <v>44.4</v>
      </c>
      <c r="AE18" s="80">
        <v>44.4</v>
      </c>
      <c r="AF18" s="80">
        <f t="shared" si="3"/>
        <v>0</v>
      </c>
      <c r="AG18" s="80">
        <f t="shared" si="4"/>
        <v>100</v>
      </c>
      <c r="AH18" s="80">
        <f t="shared" si="5"/>
        <v>0</v>
      </c>
      <c r="AI18" s="80">
        <f t="shared" si="6"/>
        <v>100</v>
      </c>
      <c r="AJ18" s="80">
        <f t="shared" si="7"/>
        <v>100</v>
      </c>
      <c r="AK18" s="80">
        <f t="shared" si="8"/>
        <v>100</v>
      </c>
      <c r="AL18" s="80">
        <f t="shared" si="9"/>
        <v>53.237410071942435</v>
      </c>
      <c r="AM18" s="80">
        <f t="shared" si="10"/>
        <v>0</v>
      </c>
      <c r="AN18" s="80">
        <f t="shared" si="11"/>
        <v>100</v>
      </c>
      <c r="AO18" s="80">
        <f t="shared" si="12"/>
        <v>0</v>
      </c>
      <c r="AP18" s="80">
        <f t="shared" si="13"/>
        <v>100</v>
      </c>
      <c r="AQ18" s="80">
        <f t="shared" si="14"/>
        <v>4.3141644512849214E-2</v>
      </c>
      <c r="AR18" s="80">
        <v>53</v>
      </c>
      <c r="AS18" s="80">
        <v>53.3</v>
      </c>
      <c r="AT18" s="80">
        <v>53</v>
      </c>
    </row>
    <row r="19" spans="1:46" s="73" customFormat="1" ht="18.75" customHeight="1" x14ac:dyDescent="0.15">
      <c r="A19" s="70" t="s">
        <v>342</v>
      </c>
      <c r="B19" s="71" t="s">
        <v>319</v>
      </c>
      <c r="C19" s="71"/>
      <c r="D19" s="81">
        <f t="shared" ref="D19:I19" si="26">D22+D25+D24+D20+D23</f>
        <v>1378.3679999999999</v>
      </c>
      <c r="E19" s="81">
        <f t="shared" si="26"/>
        <v>12044.8</v>
      </c>
      <c r="F19" s="81">
        <f t="shared" si="26"/>
        <v>7811.6809999999996</v>
      </c>
      <c r="G19" s="81">
        <f t="shared" si="26"/>
        <v>9084.2999999999993</v>
      </c>
      <c r="H19" s="81">
        <f t="shared" si="26"/>
        <v>12492</v>
      </c>
      <c r="I19" s="81">
        <f t="shared" si="26"/>
        <v>8613.4</v>
      </c>
      <c r="J19" s="72">
        <f>J20+J22+J24+J25+J23</f>
        <v>11271.1</v>
      </c>
      <c r="K19" s="72">
        <f>K20+K22+K24+K25+K23</f>
        <v>11909.7</v>
      </c>
      <c r="L19" s="72">
        <f>L20+L22+L23+L24</f>
        <v>15022.4</v>
      </c>
      <c r="M19" s="72">
        <f>M20+M22+M24+M25+M23</f>
        <v>16405.199999999997</v>
      </c>
      <c r="N19" s="72">
        <f t="shared" ref="N19:U19" si="27">N20+N22+N24+N25+N23+N21</f>
        <v>17203.3</v>
      </c>
      <c r="O19" s="72">
        <f t="shared" si="27"/>
        <v>14595</v>
      </c>
      <c r="P19" s="72">
        <f t="shared" si="27"/>
        <v>16769.5</v>
      </c>
      <c r="Q19" s="72">
        <f t="shared" si="27"/>
        <v>17758.599999999999</v>
      </c>
      <c r="R19" s="72">
        <f t="shared" si="27"/>
        <v>23437.199999999997</v>
      </c>
      <c r="S19" s="72">
        <f t="shared" si="27"/>
        <v>23554.399999999998</v>
      </c>
      <c r="T19" s="72">
        <f t="shared" si="27"/>
        <v>23554.3</v>
      </c>
      <c r="U19" s="72">
        <f t="shared" si="27"/>
        <v>22778.799999999999</v>
      </c>
      <c r="V19" s="72">
        <f t="shared" ref="V19:Z19" si="28">V20+V21+V22+V23+V24</f>
        <v>14341.800000000001</v>
      </c>
      <c r="W19" s="72">
        <f t="shared" si="28"/>
        <v>17370.599999999999</v>
      </c>
      <c r="X19" s="72">
        <f t="shared" si="28"/>
        <v>17603.599999999999</v>
      </c>
      <c r="Y19" s="72">
        <f t="shared" si="28"/>
        <v>17796.2</v>
      </c>
      <c r="Z19" s="72">
        <f t="shared" si="28"/>
        <v>18950.800000000003</v>
      </c>
      <c r="AA19" s="72">
        <f>AA20+AA21+AA22+AA23+AA24</f>
        <v>19062</v>
      </c>
      <c r="AB19" s="72">
        <f>AB20+AB21+AB22+AB23+AB24</f>
        <v>18461.2</v>
      </c>
      <c r="AC19" s="72">
        <f t="shared" ref="AC19:AE19" si="29">AC20+AC21+AC22+AC23+AC24</f>
        <v>18388</v>
      </c>
      <c r="AD19" s="72">
        <f t="shared" si="29"/>
        <v>18388.099999999999</v>
      </c>
      <c r="AE19" s="72">
        <f t="shared" si="29"/>
        <v>17637</v>
      </c>
      <c r="AF19" s="72">
        <f t="shared" si="3"/>
        <v>9.9999999998544808E-2</v>
      </c>
      <c r="AG19" s="72">
        <f t="shared" si="4"/>
        <v>100.00054383293451</v>
      </c>
      <c r="AH19" s="72">
        <f t="shared" si="5"/>
        <v>-751.09999999999854</v>
      </c>
      <c r="AI19" s="72">
        <f t="shared" si="6"/>
        <v>95.915293042783105</v>
      </c>
      <c r="AJ19" s="72">
        <f t="shared" si="7"/>
        <v>122.97619545663723</v>
      </c>
      <c r="AK19" s="72">
        <f t="shared" si="8"/>
        <v>95.915814661735908</v>
      </c>
      <c r="AL19" s="72">
        <f t="shared" si="9"/>
        <v>77.42725692310394</v>
      </c>
      <c r="AM19" s="72">
        <f t="shared" si="10"/>
        <v>4046.1999999999989</v>
      </c>
      <c r="AN19" s="72">
        <f t="shared" si="11"/>
        <v>128.21263718640617</v>
      </c>
      <c r="AO19" s="72">
        <f t="shared" si="12"/>
        <v>4046.2999999999975</v>
      </c>
      <c r="AP19" s="72">
        <f t="shared" si="13"/>
        <v>128.21333444895339</v>
      </c>
      <c r="AQ19" s="72">
        <f t="shared" si="14"/>
        <v>17.137143789935173</v>
      </c>
      <c r="AR19" s="72">
        <f>AR20+AR21+AR22+AR23+AR24</f>
        <v>15960.3</v>
      </c>
      <c r="AS19" s="72">
        <f t="shared" ref="AS19:AT19" si="30">AS20+AS21+AS22+AS23+AS24</f>
        <v>14884.7</v>
      </c>
      <c r="AT19" s="72">
        <f t="shared" si="30"/>
        <v>14887.7</v>
      </c>
    </row>
    <row r="20" spans="1:46" ht="18.75" customHeight="1" x14ac:dyDescent="0.2">
      <c r="A20" s="74" t="s">
        <v>343</v>
      </c>
      <c r="B20" s="75" t="s">
        <v>319</v>
      </c>
      <c r="C20" s="75" t="s">
        <v>310</v>
      </c>
      <c r="D20" s="75" t="s">
        <v>344</v>
      </c>
      <c r="E20" s="76">
        <v>1342.7</v>
      </c>
      <c r="F20" s="84">
        <f>1789.011+540.343+26.023</f>
        <v>2355.377</v>
      </c>
      <c r="G20" s="78">
        <v>1761.1</v>
      </c>
      <c r="H20" s="78">
        <v>1230.9000000000001</v>
      </c>
      <c r="I20" s="78">
        <v>1071.9000000000001</v>
      </c>
      <c r="J20" s="77">
        <v>1617.8</v>
      </c>
      <c r="K20" s="79">
        <v>2806.9</v>
      </c>
      <c r="L20" s="79">
        <v>2076.4</v>
      </c>
      <c r="M20" s="80">
        <v>2743</v>
      </c>
      <c r="N20" s="80">
        <v>3186.9</v>
      </c>
      <c r="O20" s="80">
        <v>723.2</v>
      </c>
      <c r="P20" s="80">
        <v>723.2</v>
      </c>
      <c r="Q20" s="80">
        <v>1712.3</v>
      </c>
      <c r="R20" s="80">
        <v>2812.7</v>
      </c>
      <c r="S20" s="80">
        <v>2929.8</v>
      </c>
      <c r="T20" s="80">
        <v>2929.8</v>
      </c>
      <c r="U20" s="80">
        <v>2929.8</v>
      </c>
      <c r="V20" s="80">
        <v>1052.0999999999999</v>
      </c>
      <c r="W20" s="80">
        <v>1236.0999999999999</v>
      </c>
      <c r="X20" s="80">
        <v>2094.4</v>
      </c>
      <c r="Y20" s="80">
        <v>2217.3000000000002</v>
      </c>
      <c r="Z20" s="80">
        <v>2881.9</v>
      </c>
      <c r="AA20" s="80">
        <v>2993.1</v>
      </c>
      <c r="AB20" s="80">
        <v>3392.3</v>
      </c>
      <c r="AC20" s="80">
        <v>3319.1</v>
      </c>
      <c r="AD20" s="80">
        <v>3319.2</v>
      </c>
      <c r="AE20" s="80">
        <v>3319.2</v>
      </c>
      <c r="AF20" s="80">
        <f t="shared" si="3"/>
        <v>9.9999999999909051E-2</v>
      </c>
      <c r="AG20" s="80">
        <f t="shared" si="4"/>
        <v>100.00301286493327</v>
      </c>
      <c r="AH20" s="80">
        <f t="shared" si="5"/>
        <v>0</v>
      </c>
      <c r="AI20" s="80">
        <f t="shared" si="6"/>
        <v>100</v>
      </c>
      <c r="AJ20" s="80">
        <f t="shared" si="7"/>
        <v>315.48331907613345</v>
      </c>
      <c r="AK20" s="80">
        <f t="shared" si="8"/>
        <v>100.00301286493327</v>
      </c>
      <c r="AL20" s="80">
        <f t="shared" si="9"/>
        <v>113.29100962523037</v>
      </c>
      <c r="AM20" s="80">
        <f t="shared" si="10"/>
        <v>2267</v>
      </c>
      <c r="AN20" s="80">
        <f t="shared" si="11"/>
        <v>315.47381427620951</v>
      </c>
      <c r="AO20" s="80">
        <f t="shared" si="12"/>
        <v>2267.1</v>
      </c>
      <c r="AP20" s="80">
        <f t="shared" si="13"/>
        <v>315.48331907613345</v>
      </c>
      <c r="AQ20" s="80">
        <f t="shared" si="14"/>
        <v>3.2251294249335385</v>
      </c>
      <c r="AR20" s="80">
        <v>1275.9000000000001</v>
      </c>
      <c r="AS20" s="80"/>
      <c r="AT20" s="80"/>
    </row>
    <row r="21" spans="1:46" ht="23.25" customHeight="1" x14ac:dyDescent="0.2">
      <c r="A21" s="74" t="s">
        <v>345</v>
      </c>
      <c r="B21" s="75" t="s">
        <v>319</v>
      </c>
      <c r="C21" s="75" t="s">
        <v>346</v>
      </c>
      <c r="D21" s="75"/>
      <c r="E21" s="76"/>
      <c r="F21" s="84"/>
      <c r="G21" s="78"/>
      <c r="H21" s="78"/>
      <c r="I21" s="78"/>
      <c r="J21" s="77"/>
      <c r="K21" s="79"/>
      <c r="L21" s="79"/>
      <c r="M21" s="80"/>
      <c r="N21" s="80">
        <v>178.1</v>
      </c>
      <c r="O21" s="80">
        <v>0</v>
      </c>
      <c r="P21" s="80">
        <v>300</v>
      </c>
      <c r="Q21" s="80">
        <v>300</v>
      </c>
      <c r="R21" s="80">
        <v>298.60000000000002</v>
      </c>
      <c r="S21" s="80">
        <v>298.60000000000002</v>
      </c>
      <c r="T21" s="80">
        <v>298.60000000000002</v>
      </c>
      <c r="U21" s="80">
        <v>298.60000000000002</v>
      </c>
      <c r="V21" s="80">
        <v>0</v>
      </c>
      <c r="W21" s="80">
        <v>299.2</v>
      </c>
      <c r="X21" s="80">
        <v>299.2</v>
      </c>
      <c r="Y21" s="80">
        <v>299.2</v>
      </c>
      <c r="Z21" s="80">
        <v>299.2</v>
      </c>
      <c r="AA21" s="80">
        <v>299.2</v>
      </c>
      <c r="AB21" s="80">
        <v>299.2</v>
      </c>
      <c r="AC21" s="80">
        <v>299.2</v>
      </c>
      <c r="AD21" s="80">
        <v>299.2</v>
      </c>
      <c r="AE21" s="80">
        <v>299.2</v>
      </c>
      <c r="AF21" s="80">
        <f t="shared" si="3"/>
        <v>0</v>
      </c>
      <c r="AG21" s="80">
        <f t="shared" si="4"/>
        <v>100</v>
      </c>
      <c r="AH21" s="80">
        <f t="shared" si="5"/>
        <v>0</v>
      </c>
      <c r="AI21" s="80">
        <f t="shared" si="6"/>
        <v>100</v>
      </c>
      <c r="AJ21" s="80"/>
      <c r="AK21" s="80">
        <f t="shared" si="8"/>
        <v>100</v>
      </c>
      <c r="AL21" s="80">
        <f t="shared" si="9"/>
        <v>100.20093770931011</v>
      </c>
      <c r="AM21" s="80">
        <f t="shared" si="10"/>
        <v>299.2</v>
      </c>
      <c r="AN21" s="80"/>
      <c r="AO21" s="80">
        <f t="shared" si="12"/>
        <v>299.2</v>
      </c>
      <c r="AP21" s="80"/>
      <c r="AQ21" s="80">
        <f t="shared" si="14"/>
        <v>0.29072027113163257</v>
      </c>
      <c r="AR21" s="80"/>
      <c r="AS21" s="80"/>
      <c r="AT21" s="80"/>
    </row>
    <row r="22" spans="1:46" ht="15.75" customHeight="1" x14ac:dyDescent="0.2">
      <c r="A22" s="74" t="s">
        <v>347</v>
      </c>
      <c r="B22" s="75" t="s">
        <v>319</v>
      </c>
      <c r="C22" s="75" t="s">
        <v>348</v>
      </c>
      <c r="D22" s="75" t="s">
        <v>325</v>
      </c>
      <c r="E22" s="76">
        <v>0</v>
      </c>
      <c r="F22" s="84">
        <v>1999</v>
      </c>
      <c r="G22" s="78">
        <v>1999</v>
      </c>
      <c r="H22" s="78">
        <v>6219.4</v>
      </c>
      <c r="I22" s="78">
        <v>2400</v>
      </c>
      <c r="J22" s="77">
        <v>2400</v>
      </c>
      <c r="K22" s="79">
        <v>2400</v>
      </c>
      <c r="L22" s="79">
        <v>2400</v>
      </c>
      <c r="M22" s="80">
        <v>2400</v>
      </c>
      <c r="N22" s="80">
        <v>3500</v>
      </c>
      <c r="O22" s="80">
        <v>3500</v>
      </c>
      <c r="P22" s="80">
        <v>3500</v>
      </c>
      <c r="Q22" s="80">
        <v>3500</v>
      </c>
      <c r="R22" s="80">
        <v>3500</v>
      </c>
      <c r="S22" s="80">
        <v>3500</v>
      </c>
      <c r="T22" s="80">
        <v>3500</v>
      </c>
      <c r="U22" s="80">
        <v>3500</v>
      </c>
      <c r="V22" s="80">
        <v>3500</v>
      </c>
      <c r="W22" s="80">
        <v>4500</v>
      </c>
      <c r="X22" s="80">
        <v>4500</v>
      </c>
      <c r="Y22" s="80">
        <v>4500</v>
      </c>
      <c r="Z22" s="80">
        <v>4500</v>
      </c>
      <c r="AA22" s="80">
        <v>4500</v>
      </c>
      <c r="AB22" s="80">
        <v>3500</v>
      </c>
      <c r="AC22" s="80">
        <v>3500</v>
      </c>
      <c r="AD22" s="80">
        <v>3500</v>
      </c>
      <c r="AE22" s="80">
        <v>3202.4</v>
      </c>
      <c r="AF22" s="80">
        <f t="shared" si="3"/>
        <v>0</v>
      </c>
      <c r="AG22" s="80">
        <f t="shared" si="4"/>
        <v>100</v>
      </c>
      <c r="AH22" s="80">
        <f t="shared" si="5"/>
        <v>-297.59999999999991</v>
      </c>
      <c r="AI22" s="80">
        <f t="shared" si="6"/>
        <v>91.497142857142848</v>
      </c>
      <c r="AJ22" s="80">
        <f t="shared" si="7"/>
        <v>91.497142857142848</v>
      </c>
      <c r="AK22" s="80">
        <f t="shared" si="8"/>
        <v>91.497142857142848</v>
      </c>
      <c r="AL22" s="80">
        <f t="shared" si="9"/>
        <v>91.497142857142848</v>
      </c>
      <c r="AM22" s="80">
        <f t="shared" si="10"/>
        <v>0</v>
      </c>
      <c r="AN22" s="80">
        <f t="shared" si="11"/>
        <v>100</v>
      </c>
      <c r="AO22" s="80">
        <f t="shared" si="12"/>
        <v>0</v>
      </c>
      <c r="AP22" s="80">
        <f t="shared" si="13"/>
        <v>100</v>
      </c>
      <c r="AQ22" s="80">
        <f t="shared" si="14"/>
        <v>3.1116396934222599</v>
      </c>
      <c r="AR22" s="80">
        <v>3500</v>
      </c>
      <c r="AS22" s="80">
        <v>3500</v>
      </c>
      <c r="AT22" s="80">
        <v>3500</v>
      </c>
    </row>
    <row r="23" spans="1:46" ht="22.5" x14ac:dyDescent="0.2">
      <c r="A23" s="83" t="s">
        <v>349</v>
      </c>
      <c r="B23" s="75" t="s">
        <v>319</v>
      </c>
      <c r="C23" s="75" t="s">
        <v>337</v>
      </c>
      <c r="D23" s="75" t="s">
        <v>325</v>
      </c>
      <c r="E23" s="76">
        <v>9792.2999999999993</v>
      </c>
      <c r="F23" s="84">
        <f>1434.756+97+667.02+775.669</f>
        <v>2974.4449999999997</v>
      </c>
      <c r="G23" s="78">
        <v>4960.5</v>
      </c>
      <c r="H23" s="78">
        <v>3815.8</v>
      </c>
      <c r="I23" s="78">
        <v>3878.9</v>
      </c>
      <c r="J23" s="77">
        <v>6661</v>
      </c>
      <c r="K23" s="79">
        <v>6102.8</v>
      </c>
      <c r="L23" s="79">
        <v>9809.2000000000007</v>
      </c>
      <c r="M23" s="80">
        <v>10565.3</v>
      </c>
      <c r="N23" s="80">
        <v>9623.2000000000007</v>
      </c>
      <c r="O23" s="80">
        <v>9971.7999999999993</v>
      </c>
      <c r="P23" s="80">
        <v>11740.3</v>
      </c>
      <c r="Q23" s="80">
        <v>11740.3</v>
      </c>
      <c r="R23" s="80">
        <v>16069.9</v>
      </c>
      <c r="S23" s="80">
        <v>16070</v>
      </c>
      <c r="T23" s="80">
        <v>16069.9</v>
      </c>
      <c r="U23" s="80">
        <v>15369.7</v>
      </c>
      <c r="V23" s="80">
        <v>9239.7000000000007</v>
      </c>
      <c r="W23" s="80">
        <v>10710</v>
      </c>
      <c r="X23" s="80">
        <v>10710</v>
      </c>
      <c r="Y23" s="80">
        <v>10779.7</v>
      </c>
      <c r="Z23" s="80">
        <v>11269.7</v>
      </c>
      <c r="AA23" s="80">
        <v>11269.7</v>
      </c>
      <c r="AB23" s="80">
        <v>11269.7</v>
      </c>
      <c r="AC23" s="80">
        <v>11269.7</v>
      </c>
      <c r="AD23" s="80">
        <v>11269.7</v>
      </c>
      <c r="AE23" s="80">
        <v>10816.2</v>
      </c>
      <c r="AF23" s="80">
        <f t="shared" si="3"/>
        <v>0</v>
      </c>
      <c r="AG23" s="80">
        <f t="shared" si="4"/>
        <v>100</v>
      </c>
      <c r="AH23" s="80">
        <f t="shared" si="5"/>
        <v>-453.5</v>
      </c>
      <c r="AI23" s="80">
        <f t="shared" si="6"/>
        <v>95.975935472993953</v>
      </c>
      <c r="AJ23" s="80">
        <f t="shared" si="7"/>
        <v>117.06224228059352</v>
      </c>
      <c r="AK23" s="80">
        <f t="shared" si="8"/>
        <v>95.975935472993953</v>
      </c>
      <c r="AL23" s="80">
        <f t="shared" si="9"/>
        <v>70.373527134556952</v>
      </c>
      <c r="AM23" s="80">
        <f t="shared" si="10"/>
        <v>2030</v>
      </c>
      <c r="AN23" s="80">
        <f t="shared" si="11"/>
        <v>121.97041029470654</v>
      </c>
      <c r="AO23" s="80">
        <f t="shared" si="12"/>
        <v>2030</v>
      </c>
      <c r="AP23" s="80">
        <f t="shared" si="13"/>
        <v>121.97041029470654</v>
      </c>
      <c r="AQ23" s="80">
        <f t="shared" si="14"/>
        <v>10.509654400447742</v>
      </c>
      <c r="AR23" s="80">
        <v>11184.4</v>
      </c>
      <c r="AS23" s="80">
        <v>11384.7</v>
      </c>
      <c r="AT23" s="80">
        <v>11387.7</v>
      </c>
    </row>
    <row r="24" spans="1:46" ht="15.75" customHeight="1" x14ac:dyDescent="0.2">
      <c r="A24" s="83" t="s">
        <v>350</v>
      </c>
      <c r="B24" s="75" t="s">
        <v>319</v>
      </c>
      <c r="C24" s="75" t="s">
        <v>312</v>
      </c>
      <c r="D24" s="75" t="s">
        <v>351</v>
      </c>
      <c r="E24" s="76">
        <v>231.9</v>
      </c>
      <c r="F24" s="84">
        <f>43.647+226.909+46.183+4.12</f>
        <v>320.85899999999998</v>
      </c>
      <c r="G24" s="78">
        <v>299.7</v>
      </c>
      <c r="H24" s="78">
        <v>645.9</v>
      </c>
      <c r="I24" s="78">
        <v>971.6</v>
      </c>
      <c r="J24" s="77">
        <v>592.29999999999995</v>
      </c>
      <c r="K24" s="79">
        <v>600</v>
      </c>
      <c r="L24" s="79">
        <v>736.8</v>
      </c>
      <c r="M24" s="80">
        <v>696.9</v>
      </c>
      <c r="N24" s="80">
        <v>715.1</v>
      </c>
      <c r="O24" s="80">
        <v>400</v>
      </c>
      <c r="P24" s="80">
        <v>506</v>
      </c>
      <c r="Q24" s="80">
        <v>506</v>
      </c>
      <c r="R24" s="80">
        <v>756</v>
      </c>
      <c r="S24" s="80">
        <v>756</v>
      </c>
      <c r="T24" s="80">
        <v>756</v>
      </c>
      <c r="U24" s="80">
        <v>680.7</v>
      </c>
      <c r="V24" s="80">
        <v>550</v>
      </c>
      <c r="W24" s="80">
        <v>625.29999999999995</v>
      </c>
      <c r="X24" s="80">
        <v>0</v>
      </c>
      <c r="Y24" s="80"/>
      <c r="Z24" s="80"/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  <c r="AG24" s="80"/>
      <c r="AH24" s="80">
        <f t="shared" si="5"/>
        <v>0</v>
      </c>
      <c r="AI24" s="80"/>
      <c r="AJ24" s="80">
        <f t="shared" si="7"/>
        <v>0</v>
      </c>
      <c r="AK24" s="80"/>
      <c r="AL24" s="80">
        <f t="shared" si="9"/>
        <v>0</v>
      </c>
      <c r="AM24" s="80">
        <f t="shared" si="10"/>
        <v>-550</v>
      </c>
      <c r="AN24" s="80">
        <f t="shared" si="11"/>
        <v>0</v>
      </c>
      <c r="AO24" s="80">
        <f t="shared" si="12"/>
        <v>-550</v>
      </c>
      <c r="AP24" s="80">
        <f t="shared" si="13"/>
        <v>0</v>
      </c>
      <c r="AQ24" s="80">
        <f t="shared" si="14"/>
        <v>0</v>
      </c>
      <c r="AR24" s="80"/>
      <c r="AS24" s="80"/>
      <c r="AT24" s="80"/>
    </row>
    <row r="25" spans="1:46" ht="24" hidden="1" customHeight="1" x14ac:dyDescent="0.2">
      <c r="A25" s="83" t="s">
        <v>352</v>
      </c>
      <c r="B25" s="75" t="s">
        <v>319</v>
      </c>
      <c r="C25" s="75" t="s">
        <v>353</v>
      </c>
      <c r="D25" s="75" t="s">
        <v>325</v>
      </c>
      <c r="E25" s="76">
        <v>677.9</v>
      </c>
      <c r="F25" s="84">
        <f>64+98</f>
        <v>162</v>
      </c>
      <c r="G25" s="78">
        <v>64</v>
      </c>
      <c r="H25" s="78">
        <v>580</v>
      </c>
      <c r="I25" s="78">
        <v>291</v>
      </c>
      <c r="J25" s="77"/>
      <c r="K25" s="79"/>
      <c r="L25" s="85" t="e">
        <f>#REF!/$K$47*100</f>
        <v>#REF!</v>
      </c>
      <c r="M25" s="80"/>
      <c r="N25" s="72"/>
      <c r="O25" s="72"/>
      <c r="P25" s="72"/>
      <c r="Q25" s="72"/>
      <c r="R25" s="72"/>
      <c r="S25" s="72"/>
      <c r="T25" s="72"/>
      <c r="U25" s="72"/>
      <c r="V25" s="80"/>
      <c r="W25" s="80"/>
      <c r="X25" s="80"/>
      <c r="Y25" s="80"/>
      <c r="Z25" s="80"/>
      <c r="AA25" s="80"/>
      <c r="AB25" s="72">
        <f t="shared" si="25"/>
        <v>0</v>
      </c>
      <c r="AC25" s="72"/>
      <c r="AD25" s="72"/>
      <c r="AE25" s="72"/>
      <c r="AF25" s="80">
        <f t="shared" si="3"/>
        <v>0</v>
      </c>
      <c r="AG25" s="80" t="e">
        <f t="shared" si="4"/>
        <v>#DIV/0!</v>
      </c>
      <c r="AH25" s="80">
        <f t="shared" si="5"/>
        <v>0</v>
      </c>
      <c r="AI25" s="80" t="e">
        <f t="shared" si="6"/>
        <v>#DIV/0!</v>
      </c>
      <c r="AJ25" s="80" t="e">
        <f t="shared" si="7"/>
        <v>#DIV/0!</v>
      </c>
      <c r="AK25" s="80" t="e">
        <f t="shared" si="8"/>
        <v>#DIV/0!</v>
      </c>
      <c r="AL25" s="80" t="e">
        <f t="shared" si="9"/>
        <v>#DIV/0!</v>
      </c>
      <c r="AM25" s="80">
        <f t="shared" si="10"/>
        <v>0</v>
      </c>
      <c r="AN25" s="80" t="e">
        <f t="shared" si="11"/>
        <v>#DIV/0!</v>
      </c>
      <c r="AO25" s="80">
        <f t="shared" si="12"/>
        <v>0</v>
      </c>
      <c r="AP25" s="80" t="e">
        <f t="shared" si="13"/>
        <v>#DIV/0!</v>
      </c>
      <c r="AQ25" s="80">
        <f t="shared" si="14"/>
        <v>0</v>
      </c>
      <c r="AR25" s="80" t="e">
        <f>U25/O25*100</f>
        <v>#DIV/0!</v>
      </c>
      <c r="AS25" s="80" t="e">
        <f>U25/N25*100</f>
        <v>#DIV/0!</v>
      </c>
      <c r="AT25" s="80">
        <f>S25-O25</f>
        <v>0</v>
      </c>
    </row>
    <row r="26" spans="1:46" s="73" customFormat="1" ht="26.25" customHeight="1" x14ac:dyDescent="0.15">
      <c r="A26" s="70" t="s">
        <v>354</v>
      </c>
      <c r="B26" s="71" t="s">
        <v>346</v>
      </c>
      <c r="C26" s="71"/>
      <c r="D26" s="81">
        <f t="shared" ref="D26:I26" si="31">D27+D29+D28</f>
        <v>13595.323</v>
      </c>
      <c r="E26" s="81">
        <f t="shared" si="31"/>
        <v>7656.24</v>
      </c>
      <c r="F26" s="81">
        <f t="shared" si="31"/>
        <v>17347.534999999996</v>
      </c>
      <c r="G26" s="81">
        <f t="shared" si="31"/>
        <v>10485.200000000001</v>
      </c>
      <c r="H26" s="81">
        <f t="shared" si="31"/>
        <v>13044.199999999999</v>
      </c>
      <c r="I26" s="81">
        <f t="shared" si="31"/>
        <v>19496</v>
      </c>
      <c r="J26" s="72">
        <f>J27+J28+J29</f>
        <v>34636.700000000004</v>
      </c>
      <c r="K26" s="72">
        <f>K27+K28+K29</f>
        <v>11983.4</v>
      </c>
      <c r="L26" s="72">
        <f t="shared" ref="L26:AE26" si="32">L27+L28+L29</f>
        <v>12296.1</v>
      </c>
      <c r="M26" s="72">
        <f t="shared" si="32"/>
        <v>43615.899999999994</v>
      </c>
      <c r="N26" s="72">
        <f t="shared" si="32"/>
        <v>16776.599999999999</v>
      </c>
      <c r="O26" s="72">
        <f t="shared" si="32"/>
        <v>17766.800000000003</v>
      </c>
      <c r="P26" s="72">
        <f t="shared" si="32"/>
        <v>26388.300000000003</v>
      </c>
      <c r="Q26" s="72">
        <f t="shared" si="32"/>
        <v>29861.300000000003</v>
      </c>
      <c r="R26" s="72">
        <f t="shared" si="32"/>
        <v>31456.699999999997</v>
      </c>
      <c r="S26" s="72">
        <f t="shared" si="32"/>
        <v>33406.600000000006</v>
      </c>
      <c r="T26" s="72">
        <f t="shared" si="32"/>
        <v>33406.600000000006</v>
      </c>
      <c r="U26" s="72">
        <f t="shared" si="32"/>
        <v>28399.9</v>
      </c>
      <c r="V26" s="72">
        <f t="shared" si="32"/>
        <v>12210.7</v>
      </c>
      <c r="W26" s="72">
        <f t="shared" si="32"/>
        <v>16322.3</v>
      </c>
      <c r="X26" s="72">
        <f t="shared" si="32"/>
        <v>17074.3</v>
      </c>
      <c r="Y26" s="72">
        <f t="shared" si="32"/>
        <v>16440.7</v>
      </c>
      <c r="Z26" s="72">
        <f t="shared" si="32"/>
        <v>19853.2</v>
      </c>
      <c r="AA26" s="72">
        <f t="shared" si="32"/>
        <v>19907.900000000001</v>
      </c>
      <c r="AB26" s="72">
        <f>AB27+AB28+AB29</f>
        <v>20020.400000000001</v>
      </c>
      <c r="AC26" s="72">
        <f t="shared" si="32"/>
        <v>23426.1</v>
      </c>
      <c r="AD26" s="72">
        <f t="shared" si="32"/>
        <v>23426.1</v>
      </c>
      <c r="AE26" s="72">
        <f t="shared" si="32"/>
        <v>17930.899999999998</v>
      </c>
      <c r="AF26" s="72">
        <f t="shared" si="3"/>
        <v>0</v>
      </c>
      <c r="AG26" s="72">
        <f t="shared" si="4"/>
        <v>100</v>
      </c>
      <c r="AH26" s="72">
        <f t="shared" si="5"/>
        <v>-5495.2000000000007</v>
      </c>
      <c r="AI26" s="72">
        <f t="shared" si="6"/>
        <v>76.542403558424141</v>
      </c>
      <c r="AJ26" s="72">
        <f t="shared" si="7"/>
        <v>146.84579917613237</v>
      </c>
      <c r="AK26" s="72">
        <f t="shared" si="8"/>
        <v>76.542403558424141</v>
      </c>
      <c r="AL26" s="72">
        <f t="shared" si="9"/>
        <v>63.13719414504979</v>
      </c>
      <c r="AM26" s="72">
        <f t="shared" si="10"/>
        <v>11215.399999999998</v>
      </c>
      <c r="AN26" s="72">
        <f t="shared" si="11"/>
        <v>191.84895214852546</v>
      </c>
      <c r="AO26" s="72">
        <f t="shared" si="12"/>
        <v>11215.399999999998</v>
      </c>
      <c r="AP26" s="72">
        <f t="shared" si="13"/>
        <v>191.84895214852546</v>
      </c>
      <c r="AQ26" s="72">
        <f t="shared" si="14"/>
        <v>17.422714270167745</v>
      </c>
      <c r="AR26" s="72">
        <f t="shared" ref="AR26:AT26" si="33">AR27+AR28+AR29</f>
        <v>14665.099999999999</v>
      </c>
      <c r="AS26" s="72">
        <f t="shared" si="33"/>
        <v>4117</v>
      </c>
      <c r="AT26" s="72">
        <f t="shared" si="33"/>
        <v>2685.8999999999996</v>
      </c>
    </row>
    <row r="27" spans="1:46" ht="15.75" customHeight="1" x14ac:dyDescent="0.2">
      <c r="A27" s="74" t="s">
        <v>355</v>
      </c>
      <c r="B27" s="75" t="s">
        <v>346</v>
      </c>
      <c r="C27" s="75" t="s">
        <v>310</v>
      </c>
      <c r="D27" s="75" t="s">
        <v>356</v>
      </c>
      <c r="E27" s="76">
        <v>4466.8999999999996</v>
      </c>
      <c r="F27" s="84">
        <f>3383.74</f>
        <v>3383.74</v>
      </c>
      <c r="G27" s="78">
        <v>2252.3000000000002</v>
      </c>
      <c r="H27" s="78">
        <v>4761.7</v>
      </c>
      <c r="I27" s="78">
        <v>3981</v>
      </c>
      <c r="J27" s="77">
        <v>4566.6000000000004</v>
      </c>
      <c r="K27" s="79">
        <v>3410.7</v>
      </c>
      <c r="L27" s="79">
        <v>823.2</v>
      </c>
      <c r="M27" s="80">
        <v>4769.1000000000004</v>
      </c>
      <c r="N27" s="80">
        <v>2011.1</v>
      </c>
      <c r="O27" s="80">
        <v>2175.6</v>
      </c>
      <c r="P27" s="80">
        <v>3554.9</v>
      </c>
      <c r="Q27" s="80">
        <v>3554.9</v>
      </c>
      <c r="R27" s="80">
        <v>6569.9</v>
      </c>
      <c r="S27" s="80">
        <v>7754.3</v>
      </c>
      <c r="T27" s="80">
        <v>7754.3</v>
      </c>
      <c r="U27" s="80">
        <v>7749.6</v>
      </c>
      <c r="V27" s="80">
        <v>3824.5</v>
      </c>
      <c r="W27" s="80">
        <v>4246</v>
      </c>
      <c r="X27" s="80">
        <v>5041.7</v>
      </c>
      <c r="Y27" s="80">
        <v>5041.7</v>
      </c>
      <c r="Z27" s="80">
        <v>5488.7</v>
      </c>
      <c r="AA27" s="80">
        <v>5488.7</v>
      </c>
      <c r="AB27" s="80">
        <v>5488.7</v>
      </c>
      <c r="AC27" s="80">
        <v>5576.9</v>
      </c>
      <c r="AD27" s="80">
        <v>5576.9</v>
      </c>
      <c r="AE27" s="80">
        <v>5180.5</v>
      </c>
      <c r="AF27" s="80">
        <f t="shared" si="3"/>
        <v>0</v>
      </c>
      <c r="AG27" s="80">
        <f t="shared" si="4"/>
        <v>100</v>
      </c>
      <c r="AH27" s="80">
        <f t="shared" si="5"/>
        <v>-396.39999999999964</v>
      </c>
      <c r="AI27" s="80">
        <f t="shared" si="6"/>
        <v>92.892108519069737</v>
      </c>
      <c r="AJ27" s="80">
        <f t="shared" si="7"/>
        <v>135.45561511308668</v>
      </c>
      <c r="AK27" s="80">
        <f t="shared" si="8"/>
        <v>92.892108519069737</v>
      </c>
      <c r="AL27" s="80">
        <f t="shared" si="9"/>
        <v>66.848611541240828</v>
      </c>
      <c r="AM27" s="80">
        <f t="shared" si="10"/>
        <v>1752.3999999999996</v>
      </c>
      <c r="AN27" s="80">
        <f t="shared" si="11"/>
        <v>145.82036867564386</v>
      </c>
      <c r="AO27" s="80">
        <f t="shared" si="12"/>
        <v>1752.3999999999996</v>
      </c>
      <c r="AP27" s="80">
        <f t="shared" si="13"/>
        <v>145.82036867564386</v>
      </c>
      <c r="AQ27" s="80">
        <f t="shared" si="14"/>
        <v>5.0336776891625084</v>
      </c>
      <c r="AR27" s="80">
        <v>1085.8</v>
      </c>
      <c r="AS27" s="80">
        <v>1085.8</v>
      </c>
      <c r="AT27" s="80">
        <v>1085.8</v>
      </c>
    </row>
    <row r="28" spans="1:46" ht="15.75" customHeight="1" x14ac:dyDescent="0.2">
      <c r="A28" s="86" t="s">
        <v>357</v>
      </c>
      <c r="B28" s="75" t="s">
        <v>346</v>
      </c>
      <c r="C28" s="75" t="s">
        <v>316</v>
      </c>
      <c r="D28" s="75" t="s">
        <v>358</v>
      </c>
      <c r="E28" s="76">
        <v>1881.94</v>
      </c>
      <c r="F28" s="84">
        <f>595.401+6189.499+2264.229</f>
        <v>9049.128999999999</v>
      </c>
      <c r="G28" s="78">
        <v>4999.3</v>
      </c>
      <c r="H28" s="78">
        <v>5253.4</v>
      </c>
      <c r="I28" s="78">
        <v>8035.4</v>
      </c>
      <c r="J28" s="77">
        <v>26009.8</v>
      </c>
      <c r="K28" s="79">
        <v>1007.8</v>
      </c>
      <c r="L28" s="79">
        <v>449.8</v>
      </c>
      <c r="M28" s="80">
        <v>4230.7</v>
      </c>
      <c r="N28" s="80">
        <v>9338.6</v>
      </c>
      <c r="O28" s="80">
        <v>6053</v>
      </c>
      <c r="P28" s="80">
        <v>6053</v>
      </c>
      <c r="Q28" s="80">
        <v>7585</v>
      </c>
      <c r="R28" s="80">
        <v>7585</v>
      </c>
      <c r="S28" s="80">
        <v>7785.1</v>
      </c>
      <c r="T28" s="80">
        <v>7785.1</v>
      </c>
      <c r="U28" s="80">
        <v>7785.1</v>
      </c>
      <c r="V28" s="80">
        <v>4221</v>
      </c>
      <c r="W28" s="80">
        <v>4221</v>
      </c>
      <c r="X28" s="80">
        <v>4390.8</v>
      </c>
      <c r="Y28" s="80">
        <v>4390.8</v>
      </c>
      <c r="Z28" s="80">
        <v>6730.7</v>
      </c>
      <c r="AA28" s="80">
        <v>6737.6</v>
      </c>
      <c r="AB28" s="80">
        <v>6737.6</v>
      </c>
      <c r="AC28" s="80">
        <v>9517.7999999999993</v>
      </c>
      <c r="AD28" s="80">
        <v>9517.7999999999993</v>
      </c>
      <c r="AE28" s="80">
        <v>9517.7999999999993</v>
      </c>
      <c r="AF28" s="80">
        <f t="shared" si="3"/>
        <v>0</v>
      </c>
      <c r="AG28" s="80">
        <f t="shared" si="4"/>
        <v>100</v>
      </c>
      <c r="AH28" s="80">
        <f t="shared" si="5"/>
        <v>0</v>
      </c>
      <c r="AI28" s="80">
        <f t="shared" si="6"/>
        <v>100</v>
      </c>
      <c r="AJ28" s="80">
        <f t="shared" si="7"/>
        <v>225.48685145700071</v>
      </c>
      <c r="AK28" s="80">
        <f t="shared" si="8"/>
        <v>100</v>
      </c>
      <c r="AL28" s="80">
        <f t="shared" si="9"/>
        <v>122.25661841209488</v>
      </c>
      <c r="AM28" s="80">
        <f t="shared" si="10"/>
        <v>5296.7999999999993</v>
      </c>
      <c r="AN28" s="80">
        <f t="shared" si="11"/>
        <v>225.48685145700071</v>
      </c>
      <c r="AO28" s="80">
        <f t="shared" si="12"/>
        <v>5296.7999999999993</v>
      </c>
      <c r="AP28" s="80">
        <f t="shared" si="13"/>
        <v>225.48685145700071</v>
      </c>
      <c r="AQ28" s="80">
        <f t="shared" si="14"/>
        <v>9.248052796044961</v>
      </c>
      <c r="AR28" s="80">
        <v>9337.9</v>
      </c>
      <c r="AS28" s="80">
        <v>221</v>
      </c>
      <c r="AT28" s="80">
        <v>221</v>
      </c>
    </row>
    <row r="29" spans="1:46" ht="15.75" customHeight="1" x14ac:dyDescent="0.2">
      <c r="A29" s="74" t="s">
        <v>359</v>
      </c>
      <c r="B29" s="75" t="s">
        <v>346</v>
      </c>
      <c r="C29" s="75" t="s">
        <v>311</v>
      </c>
      <c r="D29" s="75" t="s">
        <v>360</v>
      </c>
      <c r="E29" s="76">
        <v>1307.4000000000001</v>
      </c>
      <c r="F29" s="84">
        <f>625.621+390.945+12.4+200+95.76+18.64+1589.711+316.634+1664.955</f>
        <v>4914.6660000000002</v>
      </c>
      <c r="G29" s="78">
        <v>3233.6</v>
      </c>
      <c r="H29" s="78">
        <v>3029.1</v>
      </c>
      <c r="I29" s="78">
        <v>7479.6</v>
      </c>
      <c r="J29" s="77">
        <v>4060.3</v>
      </c>
      <c r="K29" s="79">
        <v>7564.9</v>
      </c>
      <c r="L29" s="79">
        <v>11023.1</v>
      </c>
      <c r="M29" s="80">
        <v>34616.1</v>
      </c>
      <c r="N29" s="80">
        <v>5426.9</v>
      </c>
      <c r="O29" s="80">
        <v>9538.2000000000007</v>
      </c>
      <c r="P29" s="80">
        <v>16780.400000000001</v>
      </c>
      <c r="Q29" s="80">
        <v>18721.400000000001</v>
      </c>
      <c r="R29" s="80">
        <v>17301.8</v>
      </c>
      <c r="S29" s="80">
        <v>17867.2</v>
      </c>
      <c r="T29" s="80">
        <v>17867.2</v>
      </c>
      <c r="U29" s="80">
        <v>12865.2</v>
      </c>
      <c r="V29" s="80">
        <v>4165.2</v>
      </c>
      <c r="W29" s="80">
        <v>7855.3</v>
      </c>
      <c r="X29" s="80">
        <v>7641.8</v>
      </c>
      <c r="Y29" s="80">
        <v>7008.2</v>
      </c>
      <c r="Z29" s="80">
        <v>7633.8</v>
      </c>
      <c r="AA29" s="80">
        <v>7681.6</v>
      </c>
      <c r="AB29" s="80">
        <v>7794.1</v>
      </c>
      <c r="AC29" s="80">
        <v>8331.4</v>
      </c>
      <c r="AD29" s="80">
        <v>8331.4</v>
      </c>
      <c r="AE29" s="80">
        <v>3232.6</v>
      </c>
      <c r="AF29" s="80">
        <f t="shared" si="3"/>
        <v>0</v>
      </c>
      <c r="AG29" s="80">
        <f t="shared" si="4"/>
        <v>100</v>
      </c>
      <c r="AH29" s="80">
        <f t="shared" si="5"/>
        <v>-5098.7999999999993</v>
      </c>
      <c r="AI29" s="80">
        <f t="shared" si="6"/>
        <v>38.800201646782057</v>
      </c>
      <c r="AJ29" s="80">
        <f t="shared" si="7"/>
        <v>77.609718620954581</v>
      </c>
      <c r="AK29" s="80">
        <f t="shared" si="8"/>
        <v>38.800201646782057</v>
      </c>
      <c r="AL29" s="80">
        <f t="shared" si="9"/>
        <v>25.126698380126228</v>
      </c>
      <c r="AM29" s="80">
        <f t="shared" si="10"/>
        <v>4166.2</v>
      </c>
      <c r="AN29" s="80">
        <f t="shared" si="11"/>
        <v>200.02400845097475</v>
      </c>
      <c r="AO29" s="80">
        <f t="shared" si="12"/>
        <v>4166.2</v>
      </c>
      <c r="AP29" s="80">
        <f t="shared" si="13"/>
        <v>200.02400845097475</v>
      </c>
      <c r="AQ29" s="80">
        <f t="shared" si="14"/>
        <v>3.1409837849602789</v>
      </c>
      <c r="AR29" s="80">
        <v>4241.3999999999996</v>
      </c>
      <c r="AS29" s="80">
        <v>2810.2</v>
      </c>
      <c r="AT29" s="80">
        <v>1379.1</v>
      </c>
    </row>
    <row r="30" spans="1:46" s="73" customFormat="1" ht="15.75" customHeight="1" x14ac:dyDescent="0.15">
      <c r="A30" s="87" t="s">
        <v>361</v>
      </c>
      <c r="B30" s="88">
        <v>6</v>
      </c>
      <c r="C30" s="88"/>
      <c r="D30" s="71"/>
      <c r="E30" s="81"/>
      <c r="F30" s="89"/>
      <c r="G30" s="90"/>
      <c r="H30" s="90"/>
      <c r="I30" s="90"/>
      <c r="J30" s="91"/>
      <c r="K30" s="85">
        <f t="shared" ref="K30:M30" si="34">K31</f>
        <v>2.04</v>
      </c>
      <c r="L30" s="85">
        <f t="shared" si="34"/>
        <v>0</v>
      </c>
      <c r="M30" s="85">
        <f t="shared" si="34"/>
        <v>2.2000000000000002</v>
      </c>
      <c r="N30" s="72"/>
      <c r="O30" s="72"/>
      <c r="P30" s="72"/>
      <c r="Q30" s="72"/>
      <c r="R30" s="72">
        <f>R31</f>
        <v>559.6</v>
      </c>
      <c r="S30" s="72">
        <f>S31</f>
        <v>1206</v>
      </c>
      <c r="T30" s="72">
        <f t="shared" ref="T30:AA30" si="35">T31</f>
        <v>1206</v>
      </c>
      <c r="U30" s="72">
        <f t="shared" si="35"/>
        <v>1206</v>
      </c>
      <c r="V30" s="72">
        <f t="shared" si="35"/>
        <v>550</v>
      </c>
      <c r="W30" s="72">
        <f t="shared" si="35"/>
        <v>550</v>
      </c>
      <c r="X30" s="72">
        <f t="shared" si="35"/>
        <v>825</v>
      </c>
      <c r="Y30" s="72">
        <f t="shared" si="35"/>
        <v>931.4</v>
      </c>
      <c r="Z30" s="72">
        <f t="shared" si="35"/>
        <v>1331.2</v>
      </c>
      <c r="AA30" s="72">
        <f t="shared" si="35"/>
        <v>3737.9</v>
      </c>
      <c r="AB30" s="72">
        <f>AB31</f>
        <v>3737.9</v>
      </c>
      <c r="AC30" s="72">
        <f>AC31</f>
        <v>3737.9</v>
      </c>
      <c r="AD30" s="72">
        <f>AD31</f>
        <v>3737.9</v>
      </c>
      <c r="AE30" s="72">
        <f>AE31</f>
        <v>3737.9</v>
      </c>
      <c r="AF30" s="72">
        <f>AD30-AC30</f>
        <v>0</v>
      </c>
      <c r="AG30" s="72">
        <f>AD30/AC30*100</f>
        <v>100</v>
      </c>
      <c r="AH30" s="72">
        <f>AE30-AD30</f>
        <v>0</v>
      </c>
      <c r="AI30" s="72">
        <f>AE30/AD30*100</f>
        <v>100</v>
      </c>
      <c r="AJ30" s="72">
        <f>AE30/V30*100</f>
        <v>679.61818181818182</v>
      </c>
      <c r="AK30" s="72">
        <f>AE30/AC30*100</f>
        <v>100</v>
      </c>
      <c r="AL30" s="72">
        <f>AE30/U30*100</f>
        <v>309.9419568822554</v>
      </c>
      <c r="AM30" s="72">
        <f>AC30-V30</f>
        <v>3187.9</v>
      </c>
      <c r="AN30" s="72">
        <f>AC30/V30*100</f>
        <v>679.61818181818182</v>
      </c>
      <c r="AO30" s="72">
        <f>AD30-V30</f>
        <v>3187.9</v>
      </c>
      <c r="AP30" s="72">
        <f>AD30/V30*100</f>
        <v>679.61818181818182</v>
      </c>
      <c r="AQ30" s="72">
        <f>AE30/$AE$47*100</f>
        <v>3.6319629059589889</v>
      </c>
      <c r="AR30" s="72">
        <f t="shared" ref="AR30:AT30" si="36">AR31</f>
        <v>0</v>
      </c>
      <c r="AS30" s="72">
        <f t="shared" si="36"/>
        <v>0</v>
      </c>
      <c r="AT30" s="72">
        <f t="shared" si="36"/>
        <v>0</v>
      </c>
    </row>
    <row r="31" spans="1:46" ht="24" customHeight="1" x14ac:dyDescent="0.2">
      <c r="A31" s="92" t="s">
        <v>362</v>
      </c>
      <c r="B31" s="93">
        <v>6</v>
      </c>
      <c r="C31" s="93">
        <v>5</v>
      </c>
      <c r="D31" s="75"/>
      <c r="E31" s="76"/>
      <c r="F31" s="84"/>
      <c r="G31" s="78"/>
      <c r="H31" s="78"/>
      <c r="I31" s="78"/>
      <c r="J31" s="77"/>
      <c r="K31" s="79">
        <v>2.04</v>
      </c>
      <c r="L31" s="79"/>
      <c r="M31" s="80">
        <v>2.2000000000000002</v>
      </c>
      <c r="N31" s="80"/>
      <c r="O31" s="80"/>
      <c r="P31" s="80"/>
      <c r="Q31" s="80"/>
      <c r="R31" s="80">
        <v>559.6</v>
      </c>
      <c r="S31" s="80">
        <v>1206</v>
      </c>
      <c r="T31" s="80">
        <v>1206</v>
      </c>
      <c r="U31" s="80">
        <v>1206</v>
      </c>
      <c r="V31" s="80">
        <v>550</v>
      </c>
      <c r="W31" s="80">
        <v>550</v>
      </c>
      <c r="X31" s="80">
        <v>825</v>
      </c>
      <c r="Y31" s="80">
        <v>931.4</v>
      </c>
      <c r="Z31" s="80">
        <v>1331.2</v>
      </c>
      <c r="AA31" s="80">
        <v>3737.9</v>
      </c>
      <c r="AB31" s="80">
        <v>3737.9</v>
      </c>
      <c r="AC31" s="80">
        <v>3737.9</v>
      </c>
      <c r="AD31" s="80">
        <v>3737.9</v>
      </c>
      <c r="AE31" s="80">
        <v>3737.9</v>
      </c>
      <c r="AF31" s="80">
        <f t="shared" ref="AF31:AF37" si="37">AD31-AC31</f>
        <v>0</v>
      </c>
      <c r="AG31" s="80">
        <f t="shared" ref="AG31:AG37" si="38">AD31/AC31*100</f>
        <v>100</v>
      </c>
      <c r="AH31" s="80">
        <f t="shared" ref="AH31:AH37" si="39">AE31-AD31</f>
        <v>0</v>
      </c>
      <c r="AI31" s="80">
        <f t="shared" ref="AI31:AI37" si="40">AE31/AD31*100</f>
        <v>100</v>
      </c>
      <c r="AJ31" s="80">
        <f t="shared" ref="AJ31:AJ37" si="41">AE31/V31*100</f>
        <v>679.61818181818182</v>
      </c>
      <c r="AK31" s="80">
        <f t="shared" ref="AK31:AK37" si="42">AE31/AC31*100</f>
        <v>100</v>
      </c>
      <c r="AL31" s="80">
        <f t="shared" ref="AL31:AL37" si="43">AE31/U31*100</f>
        <v>309.9419568822554</v>
      </c>
      <c r="AM31" s="80">
        <f t="shared" ref="AM31:AM37" si="44">AC31-V31</f>
        <v>3187.9</v>
      </c>
      <c r="AN31" s="80">
        <f t="shared" ref="AN31:AN37" si="45">AC31/V31*100</f>
        <v>679.61818181818182</v>
      </c>
      <c r="AO31" s="80">
        <f t="shared" ref="AO31:AO37" si="46">AD31-V31</f>
        <v>3187.9</v>
      </c>
      <c r="AP31" s="80">
        <f t="shared" ref="AP31:AP37" si="47">AD31/V31*100</f>
        <v>679.61818181818182</v>
      </c>
      <c r="AQ31" s="80">
        <f t="shared" ref="AQ31:AQ37" si="48">AE31/$AE$47*100</f>
        <v>3.6319629059589889</v>
      </c>
      <c r="AR31" s="80"/>
      <c r="AS31" s="80"/>
      <c r="AT31" s="80"/>
    </row>
    <row r="32" spans="1:46" s="73" customFormat="1" ht="15.75" hidden="1" customHeight="1" x14ac:dyDescent="0.15">
      <c r="A32" s="70" t="s">
        <v>363</v>
      </c>
      <c r="B32" s="71" t="s">
        <v>324</v>
      </c>
      <c r="C32" s="71"/>
      <c r="D32" s="81" t="str">
        <f t="shared" ref="D32:J32" si="49">D33</f>
        <v>0</v>
      </c>
      <c r="E32" s="81">
        <f t="shared" si="49"/>
        <v>0</v>
      </c>
      <c r="F32" s="81">
        <f t="shared" si="49"/>
        <v>18</v>
      </c>
      <c r="G32" s="81">
        <f t="shared" si="49"/>
        <v>0</v>
      </c>
      <c r="H32" s="81">
        <f t="shared" si="49"/>
        <v>0</v>
      </c>
      <c r="I32" s="81">
        <f t="shared" si="49"/>
        <v>0</v>
      </c>
      <c r="J32" s="72">
        <f t="shared" si="49"/>
        <v>91.5</v>
      </c>
      <c r="K32" s="85"/>
      <c r="L32" s="85" t="e">
        <f>#REF!/$K$47*100</f>
        <v>#REF!</v>
      </c>
      <c r="M32" s="80"/>
      <c r="N32" s="72"/>
      <c r="O32" s="72"/>
      <c r="P32" s="72"/>
      <c r="Q32" s="72"/>
      <c r="R32" s="72"/>
      <c r="S32" s="72"/>
      <c r="T32" s="72"/>
      <c r="U32" s="72"/>
      <c r="V32" s="80"/>
      <c r="W32" s="80"/>
      <c r="X32" s="80"/>
      <c r="Y32" s="80"/>
      <c r="Z32" s="80"/>
      <c r="AA32" s="80"/>
      <c r="AB32" s="72">
        <f t="shared" si="25"/>
        <v>0</v>
      </c>
      <c r="AC32" s="72"/>
      <c r="AD32" s="72"/>
      <c r="AE32" s="72"/>
      <c r="AF32" s="80">
        <f t="shared" si="37"/>
        <v>0</v>
      </c>
      <c r="AG32" s="80" t="e">
        <f t="shared" si="38"/>
        <v>#DIV/0!</v>
      </c>
      <c r="AH32" s="80">
        <f t="shared" si="39"/>
        <v>0</v>
      </c>
      <c r="AI32" s="80" t="e">
        <f t="shared" si="40"/>
        <v>#DIV/0!</v>
      </c>
      <c r="AJ32" s="80" t="e">
        <f t="shared" si="41"/>
        <v>#DIV/0!</v>
      </c>
      <c r="AK32" s="80" t="e">
        <f t="shared" si="42"/>
        <v>#DIV/0!</v>
      </c>
      <c r="AL32" s="80" t="e">
        <f t="shared" si="43"/>
        <v>#DIV/0!</v>
      </c>
      <c r="AM32" s="80">
        <f t="shared" si="44"/>
        <v>0</v>
      </c>
      <c r="AN32" s="80" t="e">
        <f t="shared" si="45"/>
        <v>#DIV/0!</v>
      </c>
      <c r="AO32" s="80">
        <f t="shared" si="46"/>
        <v>0</v>
      </c>
      <c r="AP32" s="80" t="e">
        <f t="shared" si="47"/>
        <v>#DIV/0!</v>
      </c>
      <c r="AQ32" s="80">
        <f t="shared" si="48"/>
        <v>0</v>
      </c>
      <c r="AR32" s="80" t="e">
        <f>U32/O32*100</f>
        <v>#DIV/0!</v>
      </c>
      <c r="AS32" s="80" t="e">
        <f>U32/N32*100</f>
        <v>#DIV/0!</v>
      </c>
      <c r="AT32" s="80">
        <f>S32-O32</f>
        <v>0</v>
      </c>
    </row>
    <row r="33" spans="1:46" ht="15.75" hidden="1" customHeight="1" x14ac:dyDescent="0.2">
      <c r="A33" s="74" t="s">
        <v>364</v>
      </c>
      <c r="B33" s="75" t="s">
        <v>324</v>
      </c>
      <c r="C33" s="75" t="s">
        <v>324</v>
      </c>
      <c r="D33" s="75" t="s">
        <v>325</v>
      </c>
      <c r="E33" s="76">
        <v>0</v>
      </c>
      <c r="F33" s="84">
        <v>18</v>
      </c>
      <c r="G33" s="78">
        <v>0</v>
      </c>
      <c r="H33" s="78"/>
      <c r="I33" s="78"/>
      <c r="J33" s="77">
        <v>91.5</v>
      </c>
      <c r="K33" s="79"/>
      <c r="L33" s="85" t="e">
        <f>#REF!/$K$47*100</f>
        <v>#REF!</v>
      </c>
      <c r="M33" s="80"/>
      <c r="N33" s="72"/>
      <c r="O33" s="72"/>
      <c r="P33" s="72"/>
      <c r="Q33" s="72"/>
      <c r="R33" s="72"/>
      <c r="S33" s="72"/>
      <c r="T33" s="72"/>
      <c r="U33" s="72"/>
      <c r="V33" s="80"/>
      <c r="W33" s="80"/>
      <c r="X33" s="80"/>
      <c r="Y33" s="80"/>
      <c r="Z33" s="80"/>
      <c r="AA33" s="80"/>
      <c r="AB33" s="72">
        <f t="shared" si="25"/>
        <v>0</v>
      </c>
      <c r="AC33" s="72"/>
      <c r="AD33" s="72"/>
      <c r="AE33" s="72"/>
      <c r="AF33" s="80">
        <f t="shared" si="37"/>
        <v>0</v>
      </c>
      <c r="AG33" s="80" t="e">
        <f t="shared" si="38"/>
        <v>#DIV/0!</v>
      </c>
      <c r="AH33" s="80">
        <f t="shared" si="39"/>
        <v>0</v>
      </c>
      <c r="AI33" s="80" t="e">
        <f t="shared" si="40"/>
        <v>#DIV/0!</v>
      </c>
      <c r="AJ33" s="80" t="e">
        <f t="shared" si="41"/>
        <v>#DIV/0!</v>
      </c>
      <c r="AK33" s="80" t="e">
        <f t="shared" si="42"/>
        <v>#DIV/0!</v>
      </c>
      <c r="AL33" s="80" t="e">
        <f t="shared" si="43"/>
        <v>#DIV/0!</v>
      </c>
      <c r="AM33" s="80">
        <f t="shared" si="44"/>
        <v>0</v>
      </c>
      <c r="AN33" s="80" t="e">
        <f t="shared" si="45"/>
        <v>#DIV/0!</v>
      </c>
      <c r="AO33" s="80">
        <f t="shared" si="46"/>
        <v>0</v>
      </c>
      <c r="AP33" s="80" t="e">
        <f t="shared" si="47"/>
        <v>#DIV/0!</v>
      </c>
      <c r="AQ33" s="80">
        <f t="shared" si="48"/>
        <v>0</v>
      </c>
      <c r="AR33" s="80" t="e">
        <f>U33/O33*100</f>
        <v>#DIV/0!</v>
      </c>
      <c r="AS33" s="80" t="e">
        <f>U33/N33*100</f>
        <v>#DIV/0!</v>
      </c>
      <c r="AT33" s="80">
        <f>S33-O33</f>
        <v>0</v>
      </c>
    </row>
    <row r="34" spans="1:46" s="73" customFormat="1" ht="15.75" customHeight="1" x14ac:dyDescent="0.15">
      <c r="A34" s="70" t="s">
        <v>365</v>
      </c>
      <c r="B34" s="71" t="s">
        <v>348</v>
      </c>
      <c r="C34" s="71"/>
      <c r="D34" s="81">
        <f t="shared" ref="D34:R34" si="50">D35+D36+D37</f>
        <v>5961.8180000000002</v>
      </c>
      <c r="E34" s="81">
        <f t="shared" si="50"/>
        <v>7382.8980000000001</v>
      </c>
      <c r="F34" s="81">
        <f t="shared" si="50"/>
        <v>6075.3189999999995</v>
      </c>
      <c r="G34" s="81">
        <f t="shared" si="50"/>
        <v>7261.7</v>
      </c>
      <c r="H34" s="81">
        <f t="shared" si="50"/>
        <v>7232.1</v>
      </c>
      <c r="I34" s="81">
        <f t="shared" si="50"/>
        <v>7412.7</v>
      </c>
      <c r="J34" s="72">
        <f t="shared" si="50"/>
        <v>7043.3</v>
      </c>
      <c r="K34" s="72">
        <f t="shared" si="50"/>
        <v>7111.8</v>
      </c>
      <c r="L34" s="72">
        <f t="shared" si="50"/>
        <v>7254.3</v>
      </c>
      <c r="M34" s="72">
        <f t="shared" si="50"/>
        <v>6875.5</v>
      </c>
      <c r="N34" s="72">
        <f t="shared" si="50"/>
        <v>6836.3</v>
      </c>
      <c r="O34" s="72">
        <f t="shared" si="50"/>
        <v>7726.7</v>
      </c>
      <c r="P34" s="72">
        <f t="shared" si="50"/>
        <v>7726.7</v>
      </c>
      <c r="Q34" s="72">
        <f t="shared" si="50"/>
        <v>7726.7</v>
      </c>
      <c r="R34" s="72">
        <f t="shared" si="50"/>
        <v>7826.7</v>
      </c>
      <c r="S34" s="72">
        <f>S35+S36+S37</f>
        <v>7807.2</v>
      </c>
      <c r="T34" s="72">
        <f t="shared" ref="T34:U34" si="51">T35+T36+T37</f>
        <v>7807.2</v>
      </c>
      <c r="U34" s="72">
        <f t="shared" si="51"/>
        <v>7807.2</v>
      </c>
      <c r="V34" s="72">
        <f t="shared" ref="V34:AA34" si="52">V35+V37</f>
        <v>7888.6</v>
      </c>
      <c r="W34" s="72">
        <f t="shared" si="52"/>
        <v>8108.6</v>
      </c>
      <c r="X34" s="72">
        <f t="shared" si="52"/>
        <v>9647.5</v>
      </c>
      <c r="Y34" s="72">
        <f t="shared" si="52"/>
        <v>9697.5</v>
      </c>
      <c r="Z34" s="72">
        <f>Z35+Z37</f>
        <v>9811.1</v>
      </c>
      <c r="AA34" s="72">
        <f t="shared" si="52"/>
        <v>9811.1</v>
      </c>
      <c r="AB34" s="72">
        <f>AB35+AB37</f>
        <v>9811.1</v>
      </c>
      <c r="AC34" s="72">
        <f>AC35+AC37</f>
        <v>9711.1</v>
      </c>
      <c r="AD34" s="72">
        <f>AD35+AD37</f>
        <v>9711.1</v>
      </c>
      <c r="AE34" s="72">
        <f>AE35+AE37</f>
        <v>9669.9</v>
      </c>
      <c r="AF34" s="72">
        <f t="shared" si="37"/>
        <v>0</v>
      </c>
      <c r="AG34" s="72">
        <f t="shared" si="38"/>
        <v>100</v>
      </c>
      <c r="AH34" s="72">
        <f t="shared" si="39"/>
        <v>-41.200000000000728</v>
      </c>
      <c r="AI34" s="72">
        <f t="shared" si="40"/>
        <v>99.575743221674159</v>
      </c>
      <c r="AJ34" s="72">
        <f t="shared" si="41"/>
        <v>122.58068605329208</v>
      </c>
      <c r="AK34" s="72">
        <f t="shared" si="42"/>
        <v>99.575743221674159</v>
      </c>
      <c r="AL34" s="72">
        <f t="shared" si="43"/>
        <v>123.8587457731325</v>
      </c>
      <c r="AM34" s="72">
        <f t="shared" si="44"/>
        <v>1822.5</v>
      </c>
      <c r="AN34" s="72">
        <f t="shared" si="45"/>
        <v>123.10295869989605</v>
      </c>
      <c r="AO34" s="72">
        <f t="shared" si="46"/>
        <v>1822.5</v>
      </c>
      <c r="AP34" s="72">
        <f t="shared" si="47"/>
        <v>123.10295869989605</v>
      </c>
      <c r="AQ34" s="72">
        <f t="shared" si="48"/>
        <v>9.3958420782612748</v>
      </c>
      <c r="AR34" s="72">
        <f>AR35+AR37</f>
        <v>9301.5</v>
      </c>
      <c r="AS34" s="72">
        <f t="shared" ref="AS34:AT34" si="53">AS35+AS37</f>
        <v>9300.1</v>
      </c>
      <c r="AT34" s="72">
        <f t="shared" si="53"/>
        <v>9298.6</v>
      </c>
    </row>
    <row r="35" spans="1:46" ht="18" customHeight="1" x14ac:dyDescent="0.2">
      <c r="A35" s="74" t="s">
        <v>366</v>
      </c>
      <c r="B35" s="75" t="s">
        <v>348</v>
      </c>
      <c r="C35" s="75" t="s">
        <v>310</v>
      </c>
      <c r="D35" s="75" t="s">
        <v>367</v>
      </c>
      <c r="E35" s="76">
        <v>6601.6</v>
      </c>
      <c r="F35" s="84">
        <f>270+2.366+144.033+130.81+7.7+5520.41</f>
        <v>6075.3189999999995</v>
      </c>
      <c r="G35" s="78">
        <v>7248.7</v>
      </c>
      <c r="H35" s="78">
        <v>7232.1</v>
      </c>
      <c r="I35" s="78">
        <v>7412.7</v>
      </c>
      <c r="J35" s="77">
        <v>7003.3</v>
      </c>
      <c r="K35" s="79">
        <v>7111.8</v>
      </c>
      <c r="L35" s="79">
        <v>7254.3</v>
      </c>
      <c r="M35" s="80">
        <v>6875.5</v>
      </c>
      <c r="N35" s="80">
        <v>6514.8</v>
      </c>
      <c r="O35" s="80">
        <v>7288.7</v>
      </c>
      <c r="P35" s="80">
        <v>7371.7</v>
      </c>
      <c r="Q35" s="80">
        <v>7371.7</v>
      </c>
      <c r="R35" s="80">
        <v>7471.7</v>
      </c>
      <c r="S35" s="80">
        <v>7452.2</v>
      </c>
      <c r="T35" s="80">
        <v>7452.2</v>
      </c>
      <c r="U35" s="80">
        <v>7452.2</v>
      </c>
      <c r="V35" s="80">
        <v>7533.6</v>
      </c>
      <c r="W35" s="80">
        <v>7753.6</v>
      </c>
      <c r="X35" s="80">
        <v>9246.5</v>
      </c>
      <c r="Y35" s="80">
        <v>9246.5</v>
      </c>
      <c r="Z35" s="80">
        <v>9360.1</v>
      </c>
      <c r="AA35" s="80">
        <v>9360.1</v>
      </c>
      <c r="AB35" s="80">
        <v>9360.1</v>
      </c>
      <c r="AC35" s="80">
        <v>9260.1</v>
      </c>
      <c r="AD35" s="80">
        <v>9260.1</v>
      </c>
      <c r="AE35" s="80">
        <v>9218.9</v>
      </c>
      <c r="AF35" s="80">
        <f t="shared" si="37"/>
        <v>0</v>
      </c>
      <c r="AG35" s="80">
        <f t="shared" si="38"/>
        <v>100</v>
      </c>
      <c r="AH35" s="80">
        <f t="shared" si="39"/>
        <v>-41.200000000000728</v>
      </c>
      <c r="AI35" s="80">
        <f t="shared" si="40"/>
        <v>99.555080398699786</v>
      </c>
      <c r="AJ35" s="80">
        <f t="shared" si="41"/>
        <v>122.37044706382075</v>
      </c>
      <c r="AK35" s="80">
        <f t="shared" si="42"/>
        <v>99.555080398699786</v>
      </c>
      <c r="AL35" s="80">
        <f t="shared" si="43"/>
        <v>123.70709320737501</v>
      </c>
      <c r="AM35" s="80">
        <f t="shared" si="44"/>
        <v>1726.5</v>
      </c>
      <c r="AN35" s="80">
        <f t="shared" si="45"/>
        <v>122.91733035998726</v>
      </c>
      <c r="AO35" s="80">
        <f t="shared" si="46"/>
        <v>1726.5</v>
      </c>
      <c r="AP35" s="80">
        <f t="shared" si="47"/>
        <v>122.91733035998726</v>
      </c>
      <c r="AQ35" s="80">
        <f t="shared" si="48"/>
        <v>8.9576240225113892</v>
      </c>
      <c r="AR35" s="80">
        <v>8927.5</v>
      </c>
      <c r="AS35" s="80">
        <v>8926.1</v>
      </c>
      <c r="AT35" s="80">
        <v>8924.6</v>
      </c>
    </row>
    <row r="36" spans="1:46" ht="15.75" hidden="1" customHeight="1" x14ac:dyDescent="0.2">
      <c r="A36" s="83" t="s">
        <v>368</v>
      </c>
      <c r="B36" s="75" t="s">
        <v>348</v>
      </c>
      <c r="C36" s="75" t="s">
        <v>316</v>
      </c>
      <c r="D36" s="75" t="s">
        <v>369</v>
      </c>
      <c r="E36" s="76">
        <v>208.09800000000001</v>
      </c>
      <c r="F36" s="84">
        <v>0</v>
      </c>
      <c r="G36" s="78"/>
      <c r="H36" s="78"/>
      <c r="I36" s="78"/>
      <c r="J36" s="77"/>
      <c r="K36" s="79"/>
      <c r="L36" s="79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>
        <f t="shared" si="25"/>
        <v>0</v>
      </c>
      <c r="AC36" s="80"/>
      <c r="AD36" s="80"/>
      <c r="AE36" s="80"/>
      <c r="AF36" s="80">
        <f t="shared" si="37"/>
        <v>0</v>
      </c>
      <c r="AG36" s="80" t="e">
        <f t="shared" si="38"/>
        <v>#DIV/0!</v>
      </c>
      <c r="AH36" s="80">
        <f t="shared" si="39"/>
        <v>0</v>
      </c>
      <c r="AI36" s="80" t="e">
        <f t="shared" si="40"/>
        <v>#DIV/0!</v>
      </c>
      <c r="AJ36" s="80" t="e">
        <f t="shared" si="41"/>
        <v>#DIV/0!</v>
      </c>
      <c r="AK36" s="80" t="e">
        <f t="shared" si="42"/>
        <v>#DIV/0!</v>
      </c>
      <c r="AL36" s="80" t="e">
        <f t="shared" si="43"/>
        <v>#DIV/0!</v>
      </c>
      <c r="AM36" s="80">
        <f t="shared" si="44"/>
        <v>0</v>
      </c>
      <c r="AN36" s="80" t="e">
        <f t="shared" si="45"/>
        <v>#DIV/0!</v>
      </c>
      <c r="AO36" s="80">
        <f t="shared" si="46"/>
        <v>0</v>
      </c>
      <c r="AP36" s="80" t="e">
        <f t="shared" si="47"/>
        <v>#DIV/0!</v>
      </c>
      <c r="AQ36" s="80">
        <f t="shared" si="48"/>
        <v>0</v>
      </c>
      <c r="AR36" s="80"/>
      <c r="AS36" s="80"/>
      <c r="AT36" s="80"/>
    </row>
    <row r="37" spans="1:46" ht="22.5" customHeight="1" x14ac:dyDescent="0.2">
      <c r="A37" s="83" t="s">
        <v>370</v>
      </c>
      <c r="B37" s="75" t="s">
        <v>348</v>
      </c>
      <c r="C37" s="75" t="s">
        <v>319</v>
      </c>
      <c r="D37" s="75" t="s">
        <v>325</v>
      </c>
      <c r="E37" s="76">
        <v>573.20000000000005</v>
      </c>
      <c r="F37" s="84">
        <v>0</v>
      </c>
      <c r="G37" s="78">
        <v>13</v>
      </c>
      <c r="H37" s="78"/>
      <c r="I37" s="78"/>
      <c r="J37" s="77">
        <v>40</v>
      </c>
      <c r="K37" s="79"/>
      <c r="L37" s="79"/>
      <c r="M37" s="80"/>
      <c r="N37" s="80">
        <v>321.5</v>
      </c>
      <c r="O37" s="80">
        <v>438</v>
      </c>
      <c r="P37" s="80">
        <v>355</v>
      </c>
      <c r="Q37" s="80">
        <v>355</v>
      </c>
      <c r="R37" s="80">
        <v>355</v>
      </c>
      <c r="S37" s="80">
        <v>355</v>
      </c>
      <c r="T37" s="80">
        <v>355</v>
      </c>
      <c r="U37" s="80">
        <v>355</v>
      </c>
      <c r="V37" s="80">
        <v>355</v>
      </c>
      <c r="W37" s="80">
        <v>355</v>
      </c>
      <c r="X37" s="80">
        <v>401</v>
      </c>
      <c r="Y37" s="80">
        <v>451</v>
      </c>
      <c r="Z37" s="80">
        <v>451</v>
      </c>
      <c r="AA37" s="80">
        <v>451</v>
      </c>
      <c r="AB37" s="80">
        <v>451</v>
      </c>
      <c r="AC37" s="80">
        <v>451</v>
      </c>
      <c r="AD37" s="80">
        <v>451</v>
      </c>
      <c r="AE37" s="80">
        <v>451</v>
      </c>
      <c r="AF37" s="80">
        <f t="shared" si="37"/>
        <v>0</v>
      </c>
      <c r="AG37" s="80">
        <f t="shared" si="38"/>
        <v>100</v>
      </c>
      <c r="AH37" s="80">
        <f t="shared" si="39"/>
        <v>0</v>
      </c>
      <c r="AI37" s="80">
        <f t="shared" si="40"/>
        <v>100</v>
      </c>
      <c r="AJ37" s="80">
        <f t="shared" si="41"/>
        <v>127.04225352112677</v>
      </c>
      <c r="AK37" s="80">
        <f t="shared" si="42"/>
        <v>100</v>
      </c>
      <c r="AL37" s="80">
        <f t="shared" si="43"/>
        <v>127.04225352112677</v>
      </c>
      <c r="AM37" s="80">
        <f t="shared" si="44"/>
        <v>96</v>
      </c>
      <c r="AN37" s="80">
        <f t="shared" si="45"/>
        <v>127.04225352112677</v>
      </c>
      <c r="AO37" s="80">
        <f t="shared" si="46"/>
        <v>96</v>
      </c>
      <c r="AP37" s="80">
        <f t="shared" si="47"/>
        <v>127.04225352112677</v>
      </c>
      <c r="AQ37" s="80">
        <f t="shared" si="48"/>
        <v>0.43821805574988737</v>
      </c>
      <c r="AR37" s="80">
        <v>374</v>
      </c>
      <c r="AS37" s="80">
        <v>374</v>
      </c>
      <c r="AT37" s="80">
        <v>374</v>
      </c>
    </row>
    <row r="38" spans="1:46" s="73" customFormat="1" ht="15.75" customHeight="1" x14ac:dyDescent="0.15">
      <c r="A38" s="94" t="s">
        <v>371</v>
      </c>
      <c r="B38" s="71" t="s">
        <v>337</v>
      </c>
      <c r="C38" s="71"/>
      <c r="D38" s="71"/>
      <c r="E38" s="81"/>
      <c r="F38" s="89"/>
      <c r="G38" s="90"/>
      <c r="H38" s="90"/>
      <c r="I38" s="90"/>
      <c r="J38" s="91"/>
      <c r="K38" s="85"/>
      <c r="L38" s="85"/>
      <c r="M38" s="85">
        <f>M39</f>
        <v>158</v>
      </c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>
        <f t="shared" si="25"/>
        <v>0</v>
      </c>
      <c r="AC38" s="72">
        <f>AC39</f>
        <v>589.79999999999995</v>
      </c>
      <c r="AD38" s="72">
        <f>AD39</f>
        <v>589.9</v>
      </c>
      <c r="AE38" s="72">
        <f>AE39</f>
        <v>589.9</v>
      </c>
      <c r="AF38" s="72">
        <f>AD38-AC38</f>
        <v>0.10000000000002274</v>
      </c>
      <c r="AG38" s="72">
        <f>AD38/AC38*100</f>
        <v>100.01695489996609</v>
      </c>
      <c r="AH38" s="72">
        <f>AE38-AD38</f>
        <v>0</v>
      </c>
      <c r="AI38" s="72">
        <f>AE38/AD38*100</f>
        <v>100</v>
      </c>
      <c r="AJ38" s="72"/>
      <c r="AK38" s="72">
        <f>AE38/AC38*100</f>
        <v>100.01695489996609</v>
      </c>
      <c r="AL38" s="72"/>
      <c r="AM38" s="72">
        <f>AC38-V38</f>
        <v>589.79999999999995</v>
      </c>
      <c r="AN38" s="72"/>
      <c r="AO38" s="72">
        <f>AD38-V38</f>
        <v>589.9</v>
      </c>
      <c r="AP38" s="72"/>
      <c r="AQ38" s="72">
        <f>AE38/$AE$47*100</f>
        <v>0.57318144365157098</v>
      </c>
      <c r="AR38" s="72"/>
      <c r="AS38" s="72"/>
      <c r="AT38" s="72"/>
    </row>
    <row r="39" spans="1:46" ht="33.75" x14ac:dyDescent="0.2">
      <c r="A39" s="83" t="s">
        <v>372</v>
      </c>
      <c r="B39" s="75" t="s">
        <v>337</v>
      </c>
      <c r="C39" s="75" t="s">
        <v>324</v>
      </c>
      <c r="D39" s="75"/>
      <c r="E39" s="76"/>
      <c r="F39" s="84"/>
      <c r="G39" s="78"/>
      <c r="H39" s="78"/>
      <c r="I39" s="78"/>
      <c r="J39" s="77"/>
      <c r="K39" s="79"/>
      <c r="L39" s="79"/>
      <c r="M39" s="80">
        <v>158</v>
      </c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>
        <f t="shared" si="25"/>
        <v>0</v>
      </c>
      <c r="AC39" s="80">
        <v>589.79999999999995</v>
      </c>
      <c r="AD39" s="80">
        <v>589.9</v>
      </c>
      <c r="AE39" s="80">
        <v>589.9</v>
      </c>
      <c r="AF39" s="80">
        <f t="shared" ref="AF39:AF47" si="54">AD39-AC39</f>
        <v>0.10000000000002274</v>
      </c>
      <c r="AG39" s="80">
        <f t="shared" ref="AG39:AG41" si="55">AD39/AC39*100</f>
        <v>100.01695489996609</v>
      </c>
      <c r="AH39" s="80">
        <f t="shared" ref="AH39:AH47" si="56">AE39-AD39</f>
        <v>0</v>
      </c>
      <c r="AI39" s="80">
        <f t="shared" ref="AI39:AI42" si="57">AE39/AD39*100</f>
        <v>100</v>
      </c>
      <c r="AJ39" s="80"/>
      <c r="AK39" s="80">
        <f t="shared" ref="AK39:AK42" si="58">AE39/AC39*100</f>
        <v>100.01695489996609</v>
      </c>
      <c r="AL39" s="80"/>
      <c r="AM39" s="80">
        <f t="shared" ref="AM39:AM47" si="59">AC39-V39</f>
        <v>589.79999999999995</v>
      </c>
      <c r="AN39" s="80"/>
      <c r="AO39" s="80">
        <f t="shared" ref="AO39:AO47" si="60">AD39-V39</f>
        <v>589.9</v>
      </c>
      <c r="AP39" s="80"/>
      <c r="AQ39" s="80">
        <f t="shared" ref="AQ39:AQ47" si="61">AE39/$AE$47*100</f>
        <v>0.57318144365157098</v>
      </c>
      <c r="AR39" s="80" t="e">
        <f>U38/O38*100</f>
        <v>#DIV/0!</v>
      </c>
      <c r="AS39" s="80" t="e">
        <f>U38/N38*100</f>
        <v>#DIV/0!</v>
      </c>
      <c r="AT39" s="80">
        <f>S38-O38</f>
        <v>0</v>
      </c>
    </row>
    <row r="40" spans="1:46" s="73" customFormat="1" ht="15.75" customHeight="1" x14ac:dyDescent="0.15">
      <c r="A40" s="94" t="s">
        <v>373</v>
      </c>
      <c r="B40" s="71" t="s">
        <v>312</v>
      </c>
      <c r="C40" s="71"/>
      <c r="D40" s="72">
        <f t="shared" ref="D40:AA40" si="62">D41</f>
        <v>0</v>
      </c>
      <c r="E40" s="72">
        <f t="shared" si="62"/>
        <v>0</v>
      </c>
      <c r="F40" s="81">
        <f t="shared" si="62"/>
        <v>0</v>
      </c>
      <c r="G40" s="81">
        <f t="shared" si="62"/>
        <v>42.4</v>
      </c>
      <c r="H40" s="81">
        <f t="shared" si="62"/>
        <v>132.9</v>
      </c>
      <c r="I40" s="81">
        <f t="shared" si="62"/>
        <v>123.2</v>
      </c>
      <c r="J40" s="72">
        <f t="shared" si="62"/>
        <v>137.69999999999999</v>
      </c>
      <c r="K40" s="72">
        <f t="shared" si="62"/>
        <v>197</v>
      </c>
      <c r="L40" s="72">
        <f t="shared" si="62"/>
        <v>240</v>
      </c>
      <c r="M40" s="72">
        <f t="shared" si="62"/>
        <v>240</v>
      </c>
      <c r="N40" s="72">
        <f t="shared" si="62"/>
        <v>240</v>
      </c>
      <c r="O40" s="72">
        <f t="shared" si="62"/>
        <v>240</v>
      </c>
      <c r="P40" s="72">
        <f t="shared" si="62"/>
        <v>240</v>
      </c>
      <c r="Q40" s="72">
        <f t="shared" si="62"/>
        <v>240</v>
      </c>
      <c r="R40" s="72">
        <f t="shared" si="62"/>
        <v>240</v>
      </c>
      <c r="S40" s="72">
        <f t="shared" si="62"/>
        <v>240</v>
      </c>
      <c r="T40" s="72">
        <f t="shared" si="62"/>
        <v>240</v>
      </c>
      <c r="U40" s="72">
        <f t="shared" si="62"/>
        <v>240</v>
      </c>
      <c r="V40" s="72">
        <f t="shared" si="62"/>
        <v>240</v>
      </c>
      <c r="W40" s="72">
        <f t="shared" si="62"/>
        <v>240</v>
      </c>
      <c r="X40" s="72">
        <f t="shared" si="62"/>
        <v>240</v>
      </c>
      <c r="Y40" s="72">
        <f t="shared" si="62"/>
        <v>240</v>
      </c>
      <c r="Z40" s="72">
        <f t="shared" si="62"/>
        <v>240</v>
      </c>
      <c r="AA40" s="72">
        <f t="shared" si="62"/>
        <v>808.4</v>
      </c>
      <c r="AB40" s="72">
        <f>AB41</f>
        <v>277.39999999999998</v>
      </c>
      <c r="AC40" s="72">
        <f>AC41</f>
        <v>702.7</v>
      </c>
      <c r="AD40" s="72">
        <f>AD41</f>
        <v>702.7</v>
      </c>
      <c r="AE40" s="72">
        <f>AE41</f>
        <v>702.7</v>
      </c>
      <c r="AF40" s="72">
        <f t="shared" si="54"/>
        <v>0</v>
      </c>
      <c r="AG40" s="72">
        <f t="shared" si="55"/>
        <v>100</v>
      </c>
      <c r="AH40" s="72">
        <f t="shared" si="56"/>
        <v>0</v>
      </c>
      <c r="AI40" s="72">
        <f t="shared" si="57"/>
        <v>100</v>
      </c>
      <c r="AJ40" s="72">
        <f t="shared" ref="AJ40:AJ43" si="63">AE40/V40*100</f>
        <v>292.79166666666669</v>
      </c>
      <c r="AK40" s="72">
        <f t="shared" si="58"/>
        <v>100</v>
      </c>
      <c r="AL40" s="72">
        <f t="shared" ref="AL40:AL43" si="64">AE40/U40*100</f>
        <v>292.79166666666669</v>
      </c>
      <c r="AM40" s="72">
        <f t="shared" si="59"/>
        <v>462.70000000000005</v>
      </c>
      <c r="AN40" s="72">
        <f t="shared" ref="AN40:AN43" si="65">AC40/V40*100</f>
        <v>292.79166666666669</v>
      </c>
      <c r="AO40" s="72">
        <f t="shared" si="60"/>
        <v>462.70000000000005</v>
      </c>
      <c r="AP40" s="72">
        <f t="shared" ref="AP40:AP43" si="66">AD40/V40*100</f>
        <v>292.79166666666669</v>
      </c>
      <c r="AQ40" s="72">
        <f t="shared" si="61"/>
        <v>0.68278454052205284</v>
      </c>
      <c r="AR40" s="72">
        <f>AR41</f>
        <v>240</v>
      </c>
      <c r="AS40" s="72">
        <f t="shared" ref="AS40:AT40" si="67">AS41</f>
        <v>240</v>
      </c>
      <c r="AT40" s="72">
        <f t="shared" si="67"/>
        <v>240</v>
      </c>
    </row>
    <row r="41" spans="1:46" ht="15.75" customHeight="1" x14ac:dyDescent="0.2">
      <c r="A41" s="83" t="s">
        <v>374</v>
      </c>
      <c r="B41" s="75" t="s">
        <v>312</v>
      </c>
      <c r="C41" s="75" t="s">
        <v>310</v>
      </c>
      <c r="D41" s="95">
        <v>0</v>
      </c>
      <c r="E41" s="95">
        <v>0</v>
      </c>
      <c r="F41" s="84">
        <v>0</v>
      </c>
      <c r="G41" s="78">
        <v>42.4</v>
      </c>
      <c r="H41" s="78">
        <v>132.9</v>
      </c>
      <c r="I41" s="78">
        <v>123.2</v>
      </c>
      <c r="J41" s="77">
        <v>137.69999999999999</v>
      </c>
      <c r="K41" s="79">
        <v>197</v>
      </c>
      <c r="L41" s="79">
        <v>240</v>
      </c>
      <c r="M41" s="80">
        <v>240</v>
      </c>
      <c r="N41" s="80">
        <v>240</v>
      </c>
      <c r="O41" s="80">
        <v>240</v>
      </c>
      <c r="P41" s="80">
        <v>240</v>
      </c>
      <c r="Q41" s="80">
        <v>240</v>
      </c>
      <c r="R41" s="80">
        <v>240</v>
      </c>
      <c r="S41" s="80">
        <v>240</v>
      </c>
      <c r="T41" s="80">
        <v>240</v>
      </c>
      <c r="U41" s="80">
        <v>240</v>
      </c>
      <c r="V41" s="80">
        <v>240</v>
      </c>
      <c r="W41" s="80">
        <v>240</v>
      </c>
      <c r="X41" s="80">
        <v>240</v>
      </c>
      <c r="Y41" s="80">
        <v>240</v>
      </c>
      <c r="Z41" s="80">
        <v>240</v>
      </c>
      <c r="AA41" s="80">
        <v>808.4</v>
      </c>
      <c r="AB41" s="80">
        <v>277.39999999999998</v>
      </c>
      <c r="AC41" s="80">
        <v>702.7</v>
      </c>
      <c r="AD41" s="80">
        <v>702.7</v>
      </c>
      <c r="AE41" s="80">
        <v>702.7</v>
      </c>
      <c r="AF41" s="80">
        <f t="shared" si="54"/>
        <v>0</v>
      </c>
      <c r="AG41" s="80">
        <f t="shared" si="55"/>
        <v>100</v>
      </c>
      <c r="AH41" s="80">
        <f t="shared" si="56"/>
        <v>0</v>
      </c>
      <c r="AI41" s="80">
        <f t="shared" si="57"/>
        <v>100</v>
      </c>
      <c r="AJ41" s="80">
        <f t="shared" si="63"/>
        <v>292.79166666666669</v>
      </c>
      <c r="AK41" s="80">
        <f t="shared" si="58"/>
        <v>100</v>
      </c>
      <c r="AL41" s="80">
        <f t="shared" si="64"/>
        <v>292.79166666666669</v>
      </c>
      <c r="AM41" s="80">
        <f t="shared" si="59"/>
        <v>462.70000000000005</v>
      </c>
      <c r="AN41" s="80">
        <f t="shared" si="65"/>
        <v>292.79166666666669</v>
      </c>
      <c r="AO41" s="80">
        <f t="shared" si="60"/>
        <v>462.70000000000005</v>
      </c>
      <c r="AP41" s="80">
        <f t="shared" si="66"/>
        <v>292.79166666666669</v>
      </c>
      <c r="AQ41" s="80">
        <f t="shared" si="61"/>
        <v>0.68278454052205284</v>
      </c>
      <c r="AR41" s="80">
        <v>240</v>
      </c>
      <c r="AS41" s="80">
        <v>240</v>
      </c>
      <c r="AT41" s="80">
        <v>240</v>
      </c>
    </row>
    <row r="42" spans="1:46" s="73" customFormat="1" ht="27.75" customHeight="1" x14ac:dyDescent="0.15">
      <c r="A42" s="70" t="s">
        <v>375</v>
      </c>
      <c r="B42" s="71" t="s">
        <v>327</v>
      </c>
      <c r="C42" s="71"/>
      <c r="D42" s="96">
        <f t="shared" ref="D42:K42" si="68">D43+D44</f>
        <v>34.375999999999998</v>
      </c>
      <c r="E42" s="96">
        <f t="shared" si="68"/>
        <v>103.78</v>
      </c>
      <c r="F42" s="81">
        <f t="shared" si="68"/>
        <v>102</v>
      </c>
      <c r="G42" s="81">
        <f t="shared" si="68"/>
        <v>145</v>
      </c>
      <c r="H42" s="81">
        <f t="shared" si="68"/>
        <v>102</v>
      </c>
      <c r="I42" s="81">
        <f t="shared" si="68"/>
        <v>99</v>
      </c>
      <c r="J42" s="72">
        <f t="shared" si="68"/>
        <v>95</v>
      </c>
      <c r="K42" s="72">
        <f t="shared" si="68"/>
        <v>94</v>
      </c>
      <c r="L42" s="72">
        <f>L43</f>
        <v>68</v>
      </c>
      <c r="M42" s="72">
        <f t="shared" ref="M42:R42" si="69">M43+M44</f>
        <v>68</v>
      </c>
      <c r="N42" s="72">
        <f t="shared" si="69"/>
        <v>67</v>
      </c>
      <c r="O42" s="72">
        <f t="shared" si="69"/>
        <v>67</v>
      </c>
      <c r="P42" s="72">
        <f t="shared" si="69"/>
        <v>67</v>
      </c>
      <c r="Q42" s="72">
        <f t="shared" si="69"/>
        <v>67</v>
      </c>
      <c r="R42" s="72">
        <f t="shared" si="69"/>
        <v>67</v>
      </c>
      <c r="S42" s="72">
        <f>S43+S44</f>
        <v>67</v>
      </c>
      <c r="T42" s="72">
        <f t="shared" ref="T42:U42" si="70">T43+T44</f>
        <v>67</v>
      </c>
      <c r="U42" s="72">
        <f t="shared" si="70"/>
        <v>67</v>
      </c>
      <c r="V42" s="72">
        <f>V43</f>
        <v>65.7</v>
      </c>
      <c r="W42" s="72">
        <f>W43</f>
        <v>65.7</v>
      </c>
      <c r="X42" s="72">
        <f t="shared" ref="X42:AE42" si="71">X43+X44</f>
        <v>15696.7</v>
      </c>
      <c r="Y42" s="72">
        <f t="shared" si="71"/>
        <v>16330.3</v>
      </c>
      <c r="Z42" s="72">
        <f t="shared" si="71"/>
        <v>16330.2</v>
      </c>
      <c r="AA42" s="72">
        <f t="shared" si="71"/>
        <v>16358.2</v>
      </c>
      <c r="AB42" s="72">
        <f t="shared" si="71"/>
        <v>16330.2</v>
      </c>
      <c r="AC42" s="72">
        <f t="shared" si="71"/>
        <v>16330.2</v>
      </c>
      <c r="AD42" s="72">
        <f t="shared" si="71"/>
        <v>16330.2</v>
      </c>
      <c r="AE42" s="72">
        <f t="shared" si="71"/>
        <v>16330.2</v>
      </c>
      <c r="AF42" s="72">
        <f t="shared" si="54"/>
        <v>0</v>
      </c>
      <c r="AG42" s="72">
        <f>AD42/AC42*100</f>
        <v>100</v>
      </c>
      <c r="AH42" s="72">
        <f t="shared" si="56"/>
        <v>0</v>
      </c>
      <c r="AI42" s="72">
        <f t="shared" si="57"/>
        <v>100</v>
      </c>
      <c r="AJ42" s="72">
        <f t="shared" si="63"/>
        <v>24855.707762557078</v>
      </c>
      <c r="AK42" s="72">
        <f t="shared" si="58"/>
        <v>100</v>
      </c>
      <c r="AL42" s="72">
        <f t="shared" si="64"/>
        <v>24373.432835820895</v>
      </c>
      <c r="AM42" s="72">
        <f t="shared" si="59"/>
        <v>16264.5</v>
      </c>
      <c r="AN42" s="72">
        <f t="shared" si="65"/>
        <v>24855.707762557078</v>
      </c>
      <c r="AO42" s="72">
        <f t="shared" si="60"/>
        <v>16264.5</v>
      </c>
      <c r="AP42" s="72">
        <f t="shared" si="66"/>
        <v>24855.707762557078</v>
      </c>
      <c r="AQ42" s="72">
        <f t="shared" si="61"/>
        <v>15.86738025278672</v>
      </c>
      <c r="AR42" s="72">
        <f>AR43+AR44</f>
        <v>64.599999999999994</v>
      </c>
      <c r="AS42" s="72">
        <f>AS43+AS44</f>
        <v>64.599999999999994</v>
      </c>
      <c r="AT42" s="72">
        <f>AT43+AT44</f>
        <v>64.599999999999994</v>
      </c>
    </row>
    <row r="43" spans="1:46" ht="15" customHeight="1" x14ac:dyDescent="0.2">
      <c r="A43" s="74" t="s">
        <v>376</v>
      </c>
      <c r="B43" s="75" t="s">
        <v>327</v>
      </c>
      <c r="C43" s="75" t="s">
        <v>310</v>
      </c>
      <c r="D43" s="75" t="s">
        <v>377</v>
      </c>
      <c r="E43" s="76">
        <v>88.78</v>
      </c>
      <c r="F43" s="84">
        <v>77</v>
      </c>
      <c r="G43" s="78">
        <v>145</v>
      </c>
      <c r="H43" s="78">
        <v>102</v>
      </c>
      <c r="I43" s="78">
        <v>99</v>
      </c>
      <c r="J43" s="77">
        <v>95</v>
      </c>
      <c r="K43" s="79">
        <v>94</v>
      </c>
      <c r="L43" s="79">
        <v>68</v>
      </c>
      <c r="M43" s="80">
        <v>68</v>
      </c>
      <c r="N43" s="80">
        <v>67</v>
      </c>
      <c r="O43" s="80">
        <v>67</v>
      </c>
      <c r="P43" s="80">
        <v>67</v>
      </c>
      <c r="Q43" s="80">
        <v>67</v>
      </c>
      <c r="R43" s="80">
        <v>67</v>
      </c>
      <c r="S43" s="80">
        <v>67</v>
      </c>
      <c r="T43" s="80">
        <v>67</v>
      </c>
      <c r="U43" s="80">
        <v>67</v>
      </c>
      <c r="V43" s="80">
        <v>65.7</v>
      </c>
      <c r="W43" s="80">
        <v>65.7</v>
      </c>
      <c r="X43" s="80">
        <v>0</v>
      </c>
      <c r="Y43" s="80"/>
      <c r="Z43" s="80"/>
      <c r="AA43" s="80"/>
      <c r="AB43" s="80"/>
      <c r="AC43" s="80"/>
      <c r="AD43" s="80"/>
      <c r="AE43" s="80"/>
      <c r="AF43" s="80">
        <f t="shared" si="54"/>
        <v>0</v>
      </c>
      <c r="AG43" s="80"/>
      <c r="AH43" s="80">
        <f t="shared" si="56"/>
        <v>0</v>
      </c>
      <c r="AI43" s="80"/>
      <c r="AJ43" s="80">
        <f t="shared" si="63"/>
        <v>0</v>
      </c>
      <c r="AK43" s="80"/>
      <c r="AL43" s="80">
        <f t="shared" si="64"/>
        <v>0</v>
      </c>
      <c r="AM43" s="80">
        <f t="shared" si="59"/>
        <v>-65.7</v>
      </c>
      <c r="AN43" s="80">
        <f t="shared" si="65"/>
        <v>0</v>
      </c>
      <c r="AO43" s="80">
        <f t="shared" si="60"/>
        <v>-65.7</v>
      </c>
      <c r="AP43" s="80">
        <f t="shared" si="66"/>
        <v>0</v>
      </c>
      <c r="AQ43" s="80">
        <f t="shared" si="61"/>
        <v>0</v>
      </c>
      <c r="AR43" s="80"/>
      <c r="AS43" s="80"/>
      <c r="AT43" s="80"/>
    </row>
    <row r="44" spans="1:46" ht="15.75" customHeight="1" x14ac:dyDescent="0.2">
      <c r="A44" s="97" t="s">
        <v>378</v>
      </c>
      <c r="B44" s="75" t="s">
        <v>327</v>
      </c>
      <c r="C44" s="75" t="s">
        <v>316</v>
      </c>
      <c r="D44" s="75" t="s">
        <v>325</v>
      </c>
      <c r="E44" s="76">
        <v>15</v>
      </c>
      <c r="F44" s="84">
        <v>25</v>
      </c>
      <c r="G44" s="78"/>
      <c r="H44" s="78"/>
      <c r="I44" s="78"/>
      <c r="J44" s="77"/>
      <c r="K44" s="79"/>
      <c r="L44" s="79" t="e">
        <f>#REF!/$K$47*100</f>
        <v>#REF!</v>
      </c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>
        <v>15696.7</v>
      </c>
      <c r="Y44" s="80">
        <v>16330.3</v>
      </c>
      <c r="Z44" s="80">
        <v>16330.2</v>
      </c>
      <c r="AA44" s="80">
        <v>16358.2</v>
      </c>
      <c r="AB44" s="80">
        <v>16330.2</v>
      </c>
      <c r="AC44" s="80">
        <v>16330.2</v>
      </c>
      <c r="AD44" s="80">
        <v>16330.2</v>
      </c>
      <c r="AE44" s="80">
        <v>16330.2</v>
      </c>
      <c r="AF44" s="80">
        <f t="shared" si="54"/>
        <v>0</v>
      </c>
      <c r="AG44" s="80">
        <f t="shared" ref="AG44:AG47" si="72">AD44/AC44*100</f>
        <v>100</v>
      </c>
      <c r="AH44" s="80">
        <f t="shared" si="56"/>
        <v>0</v>
      </c>
      <c r="AI44" s="80">
        <f t="shared" ref="AI44:AI47" si="73">AE44/AD44*100</f>
        <v>100</v>
      </c>
      <c r="AJ44" s="80"/>
      <c r="AK44" s="80">
        <f t="shared" ref="AK44:AK47" si="74">AE44/AC44*100</f>
        <v>100</v>
      </c>
      <c r="AL44" s="80"/>
      <c r="AM44" s="80">
        <f t="shared" si="59"/>
        <v>16330.2</v>
      </c>
      <c r="AN44" s="80"/>
      <c r="AO44" s="80">
        <f t="shared" si="60"/>
        <v>16330.2</v>
      </c>
      <c r="AP44" s="80"/>
      <c r="AQ44" s="80">
        <f t="shared" si="61"/>
        <v>15.86738025278672</v>
      </c>
      <c r="AR44" s="80">
        <v>64.599999999999994</v>
      </c>
      <c r="AS44" s="80">
        <v>64.599999999999994</v>
      </c>
      <c r="AT44" s="80">
        <v>64.599999999999994</v>
      </c>
    </row>
    <row r="45" spans="1:46" ht="15.75" hidden="1" customHeight="1" x14ac:dyDescent="0.2">
      <c r="A45" s="98" t="s">
        <v>379</v>
      </c>
      <c r="B45" s="99">
        <v>14</v>
      </c>
      <c r="C45" s="75"/>
      <c r="D45" s="76" t="str">
        <f>D46</f>
        <v>0</v>
      </c>
      <c r="E45" s="76">
        <f>E46</f>
        <v>59.262999999999998</v>
      </c>
      <c r="F45" s="76">
        <f>F46</f>
        <v>1942.8</v>
      </c>
      <c r="G45" s="76">
        <f>G46</f>
        <v>863.7</v>
      </c>
      <c r="H45" s="76"/>
      <c r="I45" s="76"/>
      <c r="J45" s="80" t="e">
        <f>J46+J47+#REF!+#REF!+#REF!</f>
        <v>#REF!</v>
      </c>
      <c r="K45" s="79"/>
      <c r="L45" s="85" t="e">
        <f>#REF!/$K$47*100</f>
        <v>#REF!</v>
      </c>
      <c r="M45" s="80"/>
      <c r="N45" s="80"/>
      <c r="O45" s="72"/>
      <c r="P45" s="72"/>
      <c r="Q45" s="72"/>
      <c r="R45" s="72"/>
      <c r="S45" s="72"/>
      <c r="T45" s="72"/>
      <c r="U45" s="72"/>
      <c r="V45" s="80"/>
      <c r="W45" s="80"/>
      <c r="X45" s="80"/>
      <c r="Y45" s="80"/>
      <c r="Z45" s="80"/>
      <c r="AA45" s="80"/>
      <c r="AB45" s="72">
        <f t="shared" si="25"/>
        <v>0</v>
      </c>
      <c r="AC45" s="72"/>
      <c r="AD45" s="72"/>
      <c r="AE45" s="72"/>
      <c r="AF45" s="80">
        <f t="shared" si="54"/>
        <v>0</v>
      </c>
      <c r="AG45" s="80" t="e">
        <f t="shared" si="72"/>
        <v>#DIV/0!</v>
      </c>
      <c r="AH45" s="80">
        <f t="shared" si="56"/>
        <v>0</v>
      </c>
      <c r="AI45" s="80" t="e">
        <f t="shared" si="73"/>
        <v>#DIV/0!</v>
      </c>
      <c r="AJ45" s="80" t="e">
        <f t="shared" ref="AJ45:AJ47" si="75">AE45/V45*100</f>
        <v>#DIV/0!</v>
      </c>
      <c r="AK45" s="80" t="e">
        <f t="shared" si="74"/>
        <v>#DIV/0!</v>
      </c>
      <c r="AL45" s="80" t="e">
        <f t="shared" ref="AL45:AL47" si="76">AE45/U45*100</f>
        <v>#DIV/0!</v>
      </c>
      <c r="AM45" s="80">
        <f t="shared" si="59"/>
        <v>0</v>
      </c>
      <c r="AN45" s="80" t="e">
        <f t="shared" ref="AN45:AN47" si="77">AC45/V45*100</f>
        <v>#DIV/0!</v>
      </c>
      <c r="AO45" s="80">
        <f t="shared" si="60"/>
        <v>0</v>
      </c>
      <c r="AP45" s="80" t="e">
        <f t="shared" ref="AP45:AP47" si="78">AD45/V45*100</f>
        <v>#DIV/0!</v>
      </c>
      <c r="AQ45" s="80">
        <f t="shared" si="61"/>
        <v>0</v>
      </c>
      <c r="AR45" s="80"/>
      <c r="AS45" s="80"/>
      <c r="AT45" s="80"/>
    </row>
    <row r="46" spans="1:46" ht="15.75" hidden="1" customHeight="1" x14ac:dyDescent="0.2">
      <c r="A46" s="100" t="s">
        <v>380</v>
      </c>
      <c r="B46" s="99">
        <v>14</v>
      </c>
      <c r="C46" s="75" t="s">
        <v>311</v>
      </c>
      <c r="D46" s="75" t="s">
        <v>325</v>
      </c>
      <c r="E46" s="76">
        <v>59.262999999999998</v>
      </c>
      <c r="F46" s="84">
        <v>1942.8</v>
      </c>
      <c r="G46" s="78">
        <v>863.7</v>
      </c>
      <c r="H46" s="78"/>
      <c r="I46" s="78"/>
      <c r="J46" s="77" t="e">
        <f>J47+#REF!+#REF!+#REF!+#REF!</f>
        <v>#REF!</v>
      </c>
      <c r="K46" s="79"/>
      <c r="L46" s="85" t="e">
        <f>#REF!/$K$47*100</f>
        <v>#REF!</v>
      </c>
      <c r="M46" s="80"/>
      <c r="N46" s="80"/>
      <c r="O46" s="72"/>
      <c r="P46" s="72"/>
      <c r="Q46" s="72"/>
      <c r="R46" s="72"/>
      <c r="S46" s="72"/>
      <c r="T46" s="72"/>
      <c r="U46" s="72"/>
      <c r="V46" s="80"/>
      <c r="W46" s="80"/>
      <c r="X46" s="80"/>
      <c r="Y46" s="80"/>
      <c r="Z46" s="80"/>
      <c r="AA46" s="80"/>
      <c r="AB46" s="72">
        <f t="shared" si="25"/>
        <v>0</v>
      </c>
      <c r="AC46" s="72"/>
      <c r="AD46" s="72"/>
      <c r="AE46" s="72"/>
      <c r="AF46" s="80">
        <f t="shared" si="54"/>
        <v>0</v>
      </c>
      <c r="AG46" s="80" t="e">
        <f t="shared" si="72"/>
        <v>#DIV/0!</v>
      </c>
      <c r="AH46" s="80">
        <f t="shared" si="56"/>
        <v>0</v>
      </c>
      <c r="AI46" s="80" t="e">
        <f t="shared" si="73"/>
        <v>#DIV/0!</v>
      </c>
      <c r="AJ46" s="80" t="e">
        <f t="shared" si="75"/>
        <v>#DIV/0!</v>
      </c>
      <c r="AK46" s="80" t="e">
        <f t="shared" si="74"/>
        <v>#DIV/0!</v>
      </c>
      <c r="AL46" s="80" t="e">
        <f t="shared" si="76"/>
        <v>#DIV/0!</v>
      </c>
      <c r="AM46" s="80">
        <f t="shared" si="59"/>
        <v>0</v>
      </c>
      <c r="AN46" s="80" t="e">
        <f t="shared" si="77"/>
        <v>#DIV/0!</v>
      </c>
      <c r="AO46" s="80">
        <f t="shared" si="60"/>
        <v>0</v>
      </c>
      <c r="AP46" s="80" t="e">
        <f t="shared" si="78"/>
        <v>#DIV/0!</v>
      </c>
      <c r="AQ46" s="80">
        <f t="shared" si="61"/>
        <v>0</v>
      </c>
      <c r="AR46" s="80" t="e">
        <f>U45/O45*100</f>
        <v>#DIV/0!</v>
      </c>
      <c r="AS46" s="80" t="e">
        <f>U45/N45*100</f>
        <v>#DIV/0!</v>
      </c>
      <c r="AT46" s="80">
        <f>S45-O45</f>
        <v>0</v>
      </c>
    </row>
    <row r="47" spans="1:46" s="73" customFormat="1" ht="16.5" customHeight="1" x14ac:dyDescent="0.15">
      <c r="A47" s="70" t="s">
        <v>381</v>
      </c>
      <c r="B47" s="101"/>
      <c r="C47" s="101"/>
      <c r="D47" s="81">
        <f>D45+D42+D34+D32+D26+D19+D14+D12+D5</f>
        <v>21523.071</v>
      </c>
      <c r="E47" s="81">
        <f>E45+E42+E34+E32+E26+E19+E14+E12+E5-0.7</f>
        <v>27752.931</v>
      </c>
      <c r="F47" s="81">
        <f>F45+F42+F34+F32+F26+F19+F14+F12+F5</f>
        <v>34079.620999999992</v>
      </c>
      <c r="G47" s="81">
        <f>G45+G42+G34+G32+G26+G19+G14+G12+G5+G40</f>
        <v>29063.3</v>
      </c>
      <c r="H47" s="81">
        <f>H45+H42+H34+H32+H26+H19+H14+H12+H5+H40</f>
        <v>54812.500000000007</v>
      </c>
      <c r="I47" s="81">
        <f>I45+I42+I34+I32+I26+I19+I14+I12+I5+I40-1</f>
        <v>57638.999999999993</v>
      </c>
      <c r="J47" s="72">
        <f>J42+J40+J34+J32+J26+J19+J14+J12+J5</f>
        <v>74679</v>
      </c>
      <c r="K47" s="72">
        <f>K42+K40+K34+K32+K26+K19+K14+K12+K5+K30</f>
        <v>59982.54</v>
      </c>
      <c r="L47" s="72">
        <v>60834.3</v>
      </c>
      <c r="M47" s="72">
        <f t="shared" ref="M47:N47" si="79">M42+M40+M34+M32+M26+M19+M14+M12+M5+M30+M38</f>
        <v>100798.69999999998</v>
      </c>
      <c r="N47" s="72">
        <f t="shared" si="79"/>
        <v>73503</v>
      </c>
      <c r="O47" s="72">
        <f>O42+O40+O34+O32+O26+O19+O14+O12+O5+O30+O38</f>
        <v>66286.600000000006</v>
      </c>
      <c r="P47" s="72">
        <f t="shared" ref="P47:R47" si="80">P42+P40+P34+P32+P26+P19+P14+P12+P5+P30+P38</f>
        <v>77761.8</v>
      </c>
      <c r="Q47" s="72">
        <f t="shared" si="80"/>
        <v>84339.700000000012</v>
      </c>
      <c r="R47" s="72">
        <f t="shared" si="80"/>
        <v>94951.4</v>
      </c>
      <c r="S47" s="72">
        <f>S42+S40+S34+S32+S26+S19+S14+S12+S5+S30+S38-0.2</f>
        <v>99291</v>
      </c>
      <c r="T47" s="72">
        <f>T42+T40+T34+T32+T26+T19+T14+T12+T5+T30+T38+0.1</f>
        <v>99291.000000000015</v>
      </c>
      <c r="U47" s="72">
        <f>U42+U40+U34+U32+U26+U19+U14+U12+U5+U30+U38+0.1</f>
        <v>93315.4</v>
      </c>
      <c r="V47" s="72">
        <f>V42+V40+V34+V30+V26+V19+V14+V12+V5</f>
        <v>65068.800000000003</v>
      </c>
      <c r="W47" s="72">
        <f t="shared" ref="W47:AA47" si="81">W42+W40+W34+W30+W26+W19+W14+W12+W5</f>
        <v>74671.899999999994</v>
      </c>
      <c r="X47" s="72">
        <f t="shared" si="81"/>
        <v>94830.5</v>
      </c>
      <c r="Y47" s="72">
        <f t="shared" si="81"/>
        <v>96106.4</v>
      </c>
      <c r="Z47" s="72">
        <f>Z42+Z40+Z34+Z30+Z26+Z19+Z14+Z12+Z5</f>
        <v>103067.19999999998</v>
      </c>
      <c r="AA47" s="72">
        <f t="shared" si="81"/>
        <v>107417.2</v>
      </c>
      <c r="AB47" s="72">
        <f>AB42+AB40+AB34+AB30+AB26+AB19+AB14+AB12+AB5</f>
        <v>106590.20000000001</v>
      </c>
      <c r="AC47" s="72">
        <f>AC42+AC40+AC34+AC30+AC26+AC19+AC14+AC12+AC5+AC38</f>
        <v>110738.2</v>
      </c>
      <c r="AD47" s="72">
        <f t="shared" ref="AD47:AE47" si="82">AD42+AD40+AD34+AD30+AD26+AD19+AD14+AD12+AD5+AD38</f>
        <v>110738.4</v>
      </c>
      <c r="AE47" s="72">
        <f t="shared" si="82"/>
        <v>102916.79999999999</v>
      </c>
      <c r="AF47" s="72">
        <f t="shared" si="54"/>
        <v>0.19999999999708962</v>
      </c>
      <c r="AG47" s="72">
        <f t="shared" si="72"/>
        <v>100.00018060615037</v>
      </c>
      <c r="AH47" s="72">
        <f t="shared" si="56"/>
        <v>-7821.6000000000058</v>
      </c>
      <c r="AI47" s="72">
        <f t="shared" si="73"/>
        <v>92.936867428100811</v>
      </c>
      <c r="AJ47" s="72">
        <f t="shared" si="75"/>
        <v>158.16612570079667</v>
      </c>
      <c r="AK47" s="72">
        <f t="shared" si="74"/>
        <v>92.937035277799339</v>
      </c>
      <c r="AL47" s="72">
        <f t="shared" si="76"/>
        <v>110.28919128032457</v>
      </c>
      <c r="AM47" s="72">
        <f t="shared" si="59"/>
        <v>45669.399999999994</v>
      </c>
      <c r="AN47" s="72">
        <f t="shared" si="77"/>
        <v>170.18632585816857</v>
      </c>
      <c r="AO47" s="72">
        <f t="shared" si="60"/>
        <v>45669.599999999991</v>
      </c>
      <c r="AP47" s="72">
        <f t="shared" si="78"/>
        <v>170.18663322514013</v>
      </c>
      <c r="AQ47" s="72">
        <f t="shared" si="61"/>
        <v>100</v>
      </c>
      <c r="AR47" s="72">
        <f t="shared" ref="AR47:AT47" si="83">AR42+AR40+AR34+AR30+AR26+AR19+AR14+AR12+AR5</f>
        <v>72244.900000000009</v>
      </c>
      <c r="AS47" s="72">
        <f t="shared" si="83"/>
        <v>62124.100000000006</v>
      </c>
      <c r="AT47" s="72">
        <f t="shared" si="83"/>
        <v>62199.600000000006</v>
      </c>
    </row>
    <row r="48" spans="1:46" hidden="1" x14ac:dyDescent="0.2">
      <c r="E48" s="55"/>
      <c r="F48" s="53"/>
      <c r="H48" s="53"/>
      <c r="J48" s="53"/>
      <c r="AR48" s="103"/>
      <c r="AS48" s="103"/>
      <c r="AT48" s="102"/>
    </row>
    <row r="49" spans="10:15" hidden="1" x14ac:dyDescent="0.2">
      <c r="J49" s="53"/>
    </row>
    <row r="50" spans="10:15" x14ac:dyDescent="0.2">
      <c r="J50" s="53"/>
    </row>
    <row r="51" spans="10:15" x14ac:dyDescent="0.2">
      <c r="J51" s="53"/>
      <c r="O51" s="52">
        <f>88/O47*100</f>
        <v>0.13275684678351279</v>
      </c>
    </row>
  </sheetData>
  <mergeCells count="2">
    <mergeCell ref="A3:AT3"/>
    <mergeCell ref="A2:AQ2"/>
  </mergeCells>
  <pageMargins left="0.19685039370078741" right="0.19685039370078741" top="0.19685039370078741" bottom="0.19685039370078741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9"/>
  <sheetViews>
    <sheetView tabSelected="1" topLeftCell="B1" workbookViewId="0">
      <pane ySplit="4" topLeftCell="A327" activePane="bottomLeft" state="frozen"/>
      <selection pane="bottomLeft" sqref="A1:S329"/>
    </sheetView>
  </sheetViews>
  <sheetFormatPr defaultRowHeight="11.25" x14ac:dyDescent="0.2"/>
  <cols>
    <col min="1" max="1" width="27.7109375" style="107" customWidth="1"/>
    <col min="2" max="2" width="5.140625" style="108" customWidth="1"/>
    <col min="3" max="3" width="5.28515625" style="108" customWidth="1"/>
    <col min="4" max="4" width="10" style="108" bestFit="1" customWidth="1"/>
    <col min="5" max="5" width="5.28515625" style="108" customWidth="1"/>
    <col min="6" max="6" width="6.85546875" style="108" customWidth="1"/>
    <col min="7" max="7" width="9.42578125" style="108" customWidth="1"/>
    <col min="8" max="8" width="8.7109375" style="108" customWidth="1"/>
    <col min="9" max="9" width="9.7109375" style="108" customWidth="1"/>
    <col min="10" max="10" width="9.85546875" style="108" customWidth="1"/>
    <col min="11" max="17" width="9.140625" style="108"/>
    <col min="18" max="18" width="8" style="108" customWidth="1"/>
    <col min="19" max="19" width="7.42578125" style="106" customWidth="1"/>
    <col min="20" max="256" width="9.140625" style="106"/>
    <col min="257" max="257" width="36.28515625" style="106" customWidth="1"/>
    <col min="258" max="258" width="6.140625" style="106" customWidth="1"/>
    <col min="259" max="259" width="5.140625" style="106" customWidth="1"/>
    <col min="260" max="260" width="5.28515625" style="106" customWidth="1"/>
    <col min="261" max="261" width="11.28515625" style="106" customWidth="1"/>
    <col min="262" max="262" width="6.85546875" style="106" customWidth="1"/>
    <col min="263" max="263" width="8.7109375" style="106" customWidth="1"/>
    <col min="264" max="264" width="9.7109375" style="106" customWidth="1"/>
    <col min="265" max="265" width="8.140625" style="106" customWidth="1"/>
    <col min="266" max="512" width="9.140625" style="106"/>
    <col min="513" max="513" width="36.28515625" style="106" customWidth="1"/>
    <col min="514" max="514" width="6.140625" style="106" customWidth="1"/>
    <col min="515" max="515" width="5.140625" style="106" customWidth="1"/>
    <col min="516" max="516" width="5.28515625" style="106" customWidth="1"/>
    <col min="517" max="517" width="11.28515625" style="106" customWidth="1"/>
    <col min="518" max="518" width="6.85546875" style="106" customWidth="1"/>
    <col min="519" max="519" width="8.7109375" style="106" customWidth="1"/>
    <col min="520" max="520" width="9.7109375" style="106" customWidth="1"/>
    <col min="521" max="521" width="8.140625" style="106" customWidth="1"/>
    <col min="522" max="768" width="9.140625" style="106"/>
    <col min="769" max="769" width="36.28515625" style="106" customWidth="1"/>
    <col min="770" max="770" width="6.140625" style="106" customWidth="1"/>
    <col min="771" max="771" width="5.140625" style="106" customWidth="1"/>
    <col min="772" max="772" width="5.28515625" style="106" customWidth="1"/>
    <col min="773" max="773" width="11.28515625" style="106" customWidth="1"/>
    <col min="774" max="774" width="6.85546875" style="106" customWidth="1"/>
    <col min="775" max="775" width="8.7109375" style="106" customWidth="1"/>
    <col min="776" max="776" width="9.7109375" style="106" customWidth="1"/>
    <col min="777" max="777" width="8.140625" style="106" customWidth="1"/>
    <col min="778" max="1024" width="9.140625" style="106"/>
    <col min="1025" max="1025" width="36.28515625" style="106" customWidth="1"/>
    <col min="1026" max="1026" width="6.140625" style="106" customWidth="1"/>
    <col min="1027" max="1027" width="5.140625" style="106" customWidth="1"/>
    <col min="1028" max="1028" width="5.28515625" style="106" customWidth="1"/>
    <col min="1029" max="1029" width="11.28515625" style="106" customWidth="1"/>
    <col min="1030" max="1030" width="6.85546875" style="106" customWidth="1"/>
    <col min="1031" max="1031" width="8.7109375" style="106" customWidth="1"/>
    <col min="1032" max="1032" width="9.7109375" style="106" customWidth="1"/>
    <col min="1033" max="1033" width="8.140625" style="106" customWidth="1"/>
    <col min="1034" max="1280" width="9.140625" style="106"/>
    <col min="1281" max="1281" width="36.28515625" style="106" customWidth="1"/>
    <col min="1282" max="1282" width="6.140625" style="106" customWidth="1"/>
    <col min="1283" max="1283" width="5.140625" style="106" customWidth="1"/>
    <col min="1284" max="1284" width="5.28515625" style="106" customWidth="1"/>
    <col min="1285" max="1285" width="11.28515625" style="106" customWidth="1"/>
    <col min="1286" max="1286" width="6.85546875" style="106" customWidth="1"/>
    <col min="1287" max="1287" width="8.7109375" style="106" customWidth="1"/>
    <col min="1288" max="1288" width="9.7109375" style="106" customWidth="1"/>
    <col min="1289" max="1289" width="8.140625" style="106" customWidth="1"/>
    <col min="1290" max="1536" width="9.140625" style="106"/>
    <col min="1537" max="1537" width="36.28515625" style="106" customWidth="1"/>
    <col min="1538" max="1538" width="6.140625" style="106" customWidth="1"/>
    <col min="1539" max="1539" width="5.140625" style="106" customWidth="1"/>
    <col min="1540" max="1540" width="5.28515625" style="106" customWidth="1"/>
    <col min="1541" max="1541" width="11.28515625" style="106" customWidth="1"/>
    <col min="1542" max="1542" width="6.85546875" style="106" customWidth="1"/>
    <col min="1543" max="1543" width="8.7109375" style="106" customWidth="1"/>
    <col min="1544" max="1544" width="9.7109375" style="106" customWidth="1"/>
    <col min="1545" max="1545" width="8.140625" style="106" customWidth="1"/>
    <col min="1546" max="1792" width="9.140625" style="106"/>
    <col min="1793" max="1793" width="36.28515625" style="106" customWidth="1"/>
    <col min="1794" max="1794" width="6.140625" style="106" customWidth="1"/>
    <col min="1795" max="1795" width="5.140625" style="106" customWidth="1"/>
    <col min="1796" max="1796" width="5.28515625" style="106" customWidth="1"/>
    <col min="1797" max="1797" width="11.28515625" style="106" customWidth="1"/>
    <col min="1798" max="1798" width="6.85546875" style="106" customWidth="1"/>
    <col min="1799" max="1799" width="8.7109375" style="106" customWidth="1"/>
    <col min="1800" max="1800" width="9.7109375" style="106" customWidth="1"/>
    <col min="1801" max="1801" width="8.140625" style="106" customWidth="1"/>
    <col min="1802" max="2048" width="9.140625" style="106"/>
    <col min="2049" max="2049" width="36.28515625" style="106" customWidth="1"/>
    <col min="2050" max="2050" width="6.140625" style="106" customWidth="1"/>
    <col min="2051" max="2051" width="5.140625" style="106" customWidth="1"/>
    <col min="2052" max="2052" width="5.28515625" style="106" customWidth="1"/>
    <col min="2053" max="2053" width="11.28515625" style="106" customWidth="1"/>
    <col min="2054" max="2054" width="6.85546875" style="106" customWidth="1"/>
    <col min="2055" max="2055" width="8.7109375" style="106" customWidth="1"/>
    <col min="2056" max="2056" width="9.7109375" style="106" customWidth="1"/>
    <col min="2057" max="2057" width="8.140625" style="106" customWidth="1"/>
    <col min="2058" max="2304" width="9.140625" style="106"/>
    <col min="2305" max="2305" width="36.28515625" style="106" customWidth="1"/>
    <col min="2306" max="2306" width="6.140625" style="106" customWidth="1"/>
    <col min="2307" max="2307" width="5.140625" style="106" customWidth="1"/>
    <col min="2308" max="2308" width="5.28515625" style="106" customWidth="1"/>
    <col min="2309" max="2309" width="11.28515625" style="106" customWidth="1"/>
    <col min="2310" max="2310" width="6.85546875" style="106" customWidth="1"/>
    <col min="2311" max="2311" width="8.7109375" style="106" customWidth="1"/>
    <col min="2312" max="2312" width="9.7109375" style="106" customWidth="1"/>
    <col min="2313" max="2313" width="8.140625" style="106" customWidth="1"/>
    <col min="2314" max="2560" width="9.140625" style="106"/>
    <col min="2561" max="2561" width="36.28515625" style="106" customWidth="1"/>
    <col min="2562" max="2562" width="6.140625" style="106" customWidth="1"/>
    <col min="2563" max="2563" width="5.140625" style="106" customWidth="1"/>
    <col min="2564" max="2564" width="5.28515625" style="106" customWidth="1"/>
    <col min="2565" max="2565" width="11.28515625" style="106" customWidth="1"/>
    <col min="2566" max="2566" width="6.85546875" style="106" customWidth="1"/>
    <col min="2567" max="2567" width="8.7109375" style="106" customWidth="1"/>
    <col min="2568" max="2568" width="9.7109375" style="106" customWidth="1"/>
    <col min="2569" max="2569" width="8.140625" style="106" customWidth="1"/>
    <col min="2570" max="2816" width="9.140625" style="106"/>
    <col min="2817" max="2817" width="36.28515625" style="106" customWidth="1"/>
    <col min="2818" max="2818" width="6.140625" style="106" customWidth="1"/>
    <col min="2819" max="2819" width="5.140625" style="106" customWidth="1"/>
    <col min="2820" max="2820" width="5.28515625" style="106" customWidth="1"/>
    <col min="2821" max="2821" width="11.28515625" style="106" customWidth="1"/>
    <col min="2822" max="2822" width="6.85546875" style="106" customWidth="1"/>
    <col min="2823" max="2823" width="8.7109375" style="106" customWidth="1"/>
    <col min="2824" max="2824" width="9.7109375" style="106" customWidth="1"/>
    <col min="2825" max="2825" width="8.140625" style="106" customWidth="1"/>
    <col min="2826" max="3072" width="9.140625" style="106"/>
    <col min="3073" max="3073" width="36.28515625" style="106" customWidth="1"/>
    <col min="3074" max="3074" width="6.140625" style="106" customWidth="1"/>
    <col min="3075" max="3075" width="5.140625" style="106" customWidth="1"/>
    <col min="3076" max="3076" width="5.28515625" style="106" customWidth="1"/>
    <col min="3077" max="3077" width="11.28515625" style="106" customWidth="1"/>
    <col min="3078" max="3078" width="6.85546875" style="106" customWidth="1"/>
    <col min="3079" max="3079" width="8.7109375" style="106" customWidth="1"/>
    <col min="3080" max="3080" width="9.7109375" style="106" customWidth="1"/>
    <col min="3081" max="3081" width="8.140625" style="106" customWidth="1"/>
    <col min="3082" max="3328" width="9.140625" style="106"/>
    <col min="3329" max="3329" width="36.28515625" style="106" customWidth="1"/>
    <col min="3330" max="3330" width="6.140625" style="106" customWidth="1"/>
    <col min="3331" max="3331" width="5.140625" style="106" customWidth="1"/>
    <col min="3332" max="3332" width="5.28515625" style="106" customWidth="1"/>
    <col min="3333" max="3333" width="11.28515625" style="106" customWidth="1"/>
    <col min="3334" max="3334" width="6.85546875" style="106" customWidth="1"/>
    <col min="3335" max="3335" width="8.7109375" style="106" customWidth="1"/>
    <col min="3336" max="3336" width="9.7109375" style="106" customWidth="1"/>
    <col min="3337" max="3337" width="8.140625" style="106" customWidth="1"/>
    <col min="3338" max="3584" width="9.140625" style="106"/>
    <col min="3585" max="3585" width="36.28515625" style="106" customWidth="1"/>
    <col min="3586" max="3586" width="6.140625" style="106" customWidth="1"/>
    <col min="3587" max="3587" width="5.140625" style="106" customWidth="1"/>
    <col min="3588" max="3588" width="5.28515625" style="106" customWidth="1"/>
    <col min="3589" max="3589" width="11.28515625" style="106" customWidth="1"/>
    <col min="3590" max="3590" width="6.85546875" style="106" customWidth="1"/>
    <col min="3591" max="3591" width="8.7109375" style="106" customWidth="1"/>
    <col min="3592" max="3592" width="9.7109375" style="106" customWidth="1"/>
    <col min="3593" max="3593" width="8.140625" style="106" customWidth="1"/>
    <col min="3594" max="3840" width="9.140625" style="106"/>
    <col min="3841" max="3841" width="36.28515625" style="106" customWidth="1"/>
    <col min="3842" max="3842" width="6.140625" style="106" customWidth="1"/>
    <col min="3843" max="3843" width="5.140625" style="106" customWidth="1"/>
    <col min="3844" max="3844" width="5.28515625" style="106" customWidth="1"/>
    <col min="3845" max="3845" width="11.28515625" style="106" customWidth="1"/>
    <col min="3846" max="3846" width="6.85546875" style="106" customWidth="1"/>
    <col min="3847" max="3847" width="8.7109375" style="106" customWidth="1"/>
    <col min="3848" max="3848" width="9.7109375" style="106" customWidth="1"/>
    <col min="3849" max="3849" width="8.140625" style="106" customWidth="1"/>
    <col min="3850" max="4096" width="9.140625" style="106"/>
    <col min="4097" max="4097" width="36.28515625" style="106" customWidth="1"/>
    <col min="4098" max="4098" width="6.140625" style="106" customWidth="1"/>
    <col min="4099" max="4099" width="5.140625" style="106" customWidth="1"/>
    <col min="4100" max="4100" width="5.28515625" style="106" customWidth="1"/>
    <col min="4101" max="4101" width="11.28515625" style="106" customWidth="1"/>
    <col min="4102" max="4102" width="6.85546875" style="106" customWidth="1"/>
    <col min="4103" max="4103" width="8.7109375" style="106" customWidth="1"/>
    <col min="4104" max="4104" width="9.7109375" style="106" customWidth="1"/>
    <col min="4105" max="4105" width="8.140625" style="106" customWidth="1"/>
    <col min="4106" max="4352" width="9.140625" style="106"/>
    <col min="4353" max="4353" width="36.28515625" style="106" customWidth="1"/>
    <col min="4354" max="4354" width="6.140625" style="106" customWidth="1"/>
    <col min="4355" max="4355" width="5.140625" style="106" customWidth="1"/>
    <col min="4356" max="4356" width="5.28515625" style="106" customWidth="1"/>
    <col min="4357" max="4357" width="11.28515625" style="106" customWidth="1"/>
    <col min="4358" max="4358" width="6.85546875" style="106" customWidth="1"/>
    <col min="4359" max="4359" width="8.7109375" style="106" customWidth="1"/>
    <col min="4360" max="4360" width="9.7109375" style="106" customWidth="1"/>
    <col min="4361" max="4361" width="8.140625" style="106" customWidth="1"/>
    <col min="4362" max="4608" width="9.140625" style="106"/>
    <col min="4609" max="4609" width="36.28515625" style="106" customWidth="1"/>
    <col min="4610" max="4610" width="6.140625" style="106" customWidth="1"/>
    <col min="4611" max="4611" width="5.140625" style="106" customWidth="1"/>
    <col min="4612" max="4612" width="5.28515625" style="106" customWidth="1"/>
    <col min="4613" max="4613" width="11.28515625" style="106" customWidth="1"/>
    <col min="4614" max="4614" width="6.85546875" style="106" customWidth="1"/>
    <col min="4615" max="4615" width="8.7109375" style="106" customWidth="1"/>
    <col min="4616" max="4616" width="9.7109375" style="106" customWidth="1"/>
    <col min="4617" max="4617" width="8.140625" style="106" customWidth="1"/>
    <col min="4618" max="4864" width="9.140625" style="106"/>
    <col min="4865" max="4865" width="36.28515625" style="106" customWidth="1"/>
    <col min="4866" max="4866" width="6.140625" style="106" customWidth="1"/>
    <col min="4867" max="4867" width="5.140625" style="106" customWidth="1"/>
    <col min="4868" max="4868" width="5.28515625" style="106" customWidth="1"/>
    <col min="4869" max="4869" width="11.28515625" style="106" customWidth="1"/>
    <col min="4870" max="4870" width="6.85546875" style="106" customWidth="1"/>
    <col min="4871" max="4871" width="8.7109375" style="106" customWidth="1"/>
    <col min="4872" max="4872" width="9.7109375" style="106" customWidth="1"/>
    <col min="4873" max="4873" width="8.140625" style="106" customWidth="1"/>
    <col min="4874" max="5120" width="9.140625" style="106"/>
    <col min="5121" max="5121" width="36.28515625" style="106" customWidth="1"/>
    <col min="5122" max="5122" width="6.140625" style="106" customWidth="1"/>
    <col min="5123" max="5123" width="5.140625" style="106" customWidth="1"/>
    <col min="5124" max="5124" width="5.28515625" style="106" customWidth="1"/>
    <col min="5125" max="5125" width="11.28515625" style="106" customWidth="1"/>
    <col min="5126" max="5126" width="6.85546875" style="106" customWidth="1"/>
    <col min="5127" max="5127" width="8.7109375" style="106" customWidth="1"/>
    <col min="5128" max="5128" width="9.7109375" style="106" customWidth="1"/>
    <col min="5129" max="5129" width="8.140625" style="106" customWidth="1"/>
    <col min="5130" max="5376" width="9.140625" style="106"/>
    <col min="5377" max="5377" width="36.28515625" style="106" customWidth="1"/>
    <col min="5378" max="5378" width="6.140625" style="106" customWidth="1"/>
    <col min="5379" max="5379" width="5.140625" style="106" customWidth="1"/>
    <col min="5380" max="5380" width="5.28515625" style="106" customWidth="1"/>
    <col min="5381" max="5381" width="11.28515625" style="106" customWidth="1"/>
    <col min="5382" max="5382" width="6.85546875" style="106" customWidth="1"/>
    <col min="5383" max="5383" width="8.7109375" style="106" customWidth="1"/>
    <col min="5384" max="5384" width="9.7109375" style="106" customWidth="1"/>
    <col min="5385" max="5385" width="8.140625" style="106" customWidth="1"/>
    <col min="5386" max="5632" width="9.140625" style="106"/>
    <col min="5633" max="5633" width="36.28515625" style="106" customWidth="1"/>
    <col min="5634" max="5634" width="6.140625" style="106" customWidth="1"/>
    <col min="5635" max="5635" width="5.140625" style="106" customWidth="1"/>
    <col min="5636" max="5636" width="5.28515625" style="106" customWidth="1"/>
    <col min="5637" max="5637" width="11.28515625" style="106" customWidth="1"/>
    <col min="5638" max="5638" width="6.85546875" style="106" customWidth="1"/>
    <col min="5639" max="5639" width="8.7109375" style="106" customWidth="1"/>
    <col min="5640" max="5640" width="9.7109375" style="106" customWidth="1"/>
    <col min="5641" max="5641" width="8.140625" style="106" customWidth="1"/>
    <col min="5642" max="5888" width="9.140625" style="106"/>
    <col min="5889" max="5889" width="36.28515625" style="106" customWidth="1"/>
    <col min="5890" max="5890" width="6.140625" style="106" customWidth="1"/>
    <col min="5891" max="5891" width="5.140625" style="106" customWidth="1"/>
    <col min="5892" max="5892" width="5.28515625" style="106" customWidth="1"/>
    <col min="5893" max="5893" width="11.28515625" style="106" customWidth="1"/>
    <col min="5894" max="5894" width="6.85546875" style="106" customWidth="1"/>
    <col min="5895" max="5895" width="8.7109375" style="106" customWidth="1"/>
    <col min="5896" max="5896" width="9.7109375" style="106" customWidth="1"/>
    <col min="5897" max="5897" width="8.140625" style="106" customWidth="1"/>
    <col min="5898" max="6144" width="9.140625" style="106"/>
    <col min="6145" max="6145" width="36.28515625" style="106" customWidth="1"/>
    <col min="6146" max="6146" width="6.140625" style="106" customWidth="1"/>
    <col min="6147" max="6147" width="5.140625" style="106" customWidth="1"/>
    <col min="6148" max="6148" width="5.28515625" style="106" customWidth="1"/>
    <col min="6149" max="6149" width="11.28515625" style="106" customWidth="1"/>
    <col min="6150" max="6150" width="6.85546875" style="106" customWidth="1"/>
    <col min="6151" max="6151" width="8.7109375" style="106" customWidth="1"/>
    <col min="6152" max="6152" width="9.7109375" style="106" customWidth="1"/>
    <col min="6153" max="6153" width="8.140625" style="106" customWidth="1"/>
    <col min="6154" max="6400" width="9.140625" style="106"/>
    <col min="6401" max="6401" width="36.28515625" style="106" customWidth="1"/>
    <col min="6402" max="6402" width="6.140625" style="106" customWidth="1"/>
    <col min="6403" max="6403" width="5.140625" style="106" customWidth="1"/>
    <col min="6404" max="6404" width="5.28515625" style="106" customWidth="1"/>
    <col min="6405" max="6405" width="11.28515625" style="106" customWidth="1"/>
    <col min="6406" max="6406" width="6.85546875" style="106" customWidth="1"/>
    <col min="6407" max="6407" width="8.7109375" style="106" customWidth="1"/>
    <col min="6408" max="6408" width="9.7109375" style="106" customWidth="1"/>
    <col min="6409" max="6409" width="8.140625" style="106" customWidth="1"/>
    <col min="6410" max="6656" width="9.140625" style="106"/>
    <col min="6657" max="6657" width="36.28515625" style="106" customWidth="1"/>
    <col min="6658" max="6658" width="6.140625" style="106" customWidth="1"/>
    <col min="6659" max="6659" width="5.140625" style="106" customWidth="1"/>
    <col min="6660" max="6660" width="5.28515625" style="106" customWidth="1"/>
    <col min="6661" max="6661" width="11.28515625" style="106" customWidth="1"/>
    <col min="6662" max="6662" width="6.85546875" style="106" customWidth="1"/>
    <col min="6663" max="6663" width="8.7109375" style="106" customWidth="1"/>
    <col min="6664" max="6664" width="9.7109375" style="106" customWidth="1"/>
    <col min="6665" max="6665" width="8.140625" style="106" customWidth="1"/>
    <col min="6666" max="6912" width="9.140625" style="106"/>
    <col min="6913" max="6913" width="36.28515625" style="106" customWidth="1"/>
    <col min="6914" max="6914" width="6.140625" style="106" customWidth="1"/>
    <col min="6915" max="6915" width="5.140625" style="106" customWidth="1"/>
    <col min="6916" max="6916" width="5.28515625" style="106" customWidth="1"/>
    <col min="6917" max="6917" width="11.28515625" style="106" customWidth="1"/>
    <col min="6918" max="6918" width="6.85546875" style="106" customWidth="1"/>
    <col min="6919" max="6919" width="8.7109375" style="106" customWidth="1"/>
    <col min="6920" max="6920" width="9.7109375" style="106" customWidth="1"/>
    <col min="6921" max="6921" width="8.140625" style="106" customWidth="1"/>
    <col min="6922" max="7168" width="9.140625" style="106"/>
    <col min="7169" max="7169" width="36.28515625" style="106" customWidth="1"/>
    <col min="7170" max="7170" width="6.140625" style="106" customWidth="1"/>
    <col min="7171" max="7171" width="5.140625" style="106" customWidth="1"/>
    <col min="7172" max="7172" width="5.28515625" style="106" customWidth="1"/>
    <col min="7173" max="7173" width="11.28515625" style="106" customWidth="1"/>
    <col min="7174" max="7174" width="6.85546875" style="106" customWidth="1"/>
    <col min="7175" max="7175" width="8.7109375" style="106" customWidth="1"/>
    <col min="7176" max="7176" width="9.7109375" style="106" customWidth="1"/>
    <col min="7177" max="7177" width="8.140625" style="106" customWidth="1"/>
    <col min="7178" max="7424" width="9.140625" style="106"/>
    <col min="7425" max="7425" width="36.28515625" style="106" customWidth="1"/>
    <col min="7426" max="7426" width="6.140625" style="106" customWidth="1"/>
    <col min="7427" max="7427" width="5.140625" style="106" customWidth="1"/>
    <col min="7428" max="7428" width="5.28515625" style="106" customWidth="1"/>
    <col min="7429" max="7429" width="11.28515625" style="106" customWidth="1"/>
    <col min="7430" max="7430" width="6.85546875" style="106" customWidth="1"/>
    <col min="7431" max="7431" width="8.7109375" style="106" customWidth="1"/>
    <col min="7432" max="7432" width="9.7109375" style="106" customWidth="1"/>
    <col min="7433" max="7433" width="8.140625" style="106" customWidth="1"/>
    <col min="7434" max="7680" width="9.140625" style="106"/>
    <col min="7681" max="7681" width="36.28515625" style="106" customWidth="1"/>
    <col min="7682" max="7682" width="6.140625" style="106" customWidth="1"/>
    <col min="7683" max="7683" width="5.140625" style="106" customWidth="1"/>
    <col min="7684" max="7684" width="5.28515625" style="106" customWidth="1"/>
    <col min="7685" max="7685" width="11.28515625" style="106" customWidth="1"/>
    <col min="7686" max="7686" width="6.85546875" style="106" customWidth="1"/>
    <col min="7687" max="7687" width="8.7109375" style="106" customWidth="1"/>
    <col min="7688" max="7688" width="9.7109375" style="106" customWidth="1"/>
    <col min="7689" max="7689" width="8.140625" style="106" customWidth="1"/>
    <col min="7690" max="7936" width="9.140625" style="106"/>
    <col min="7937" max="7937" width="36.28515625" style="106" customWidth="1"/>
    <col min="7938" max="7938" width="6.140625" style="106" customWidth="1"/>
    <col min="7939" max="7939" width="5.140625" style="106" customWidth="1"/>
    <col min="7940" max="7940" width="5.28515625" style="106" customWidth="1"/>
    <col min="7941" max="7941" width="11.28515625" style="106" customWidth="1"/>
    <col min="7942" max="7942" width="6.85546875" style="106" customWidth="1"/>
    <col min="7943" max="7943" width="8.7109375" style="106" customWidth="1"/>
    <col min="7944" max="7944" width="9.7109375" style="106" customWidth="1"/>
    <col min="7945" max="7945" width="8.140625" style="106" customWidth="1"/>
    <col min="7946" max="8192" width="9.140625" style="106"/>
    <col min="8193" max="8193" width="36.28515625" style="106" customWidth="1"/>
    <col min="8194" max="8194" width="6.140625" style="106" customWidth="1"/>
    <col min="8195" max="8195" width="5.140625" style="106" customWidth="1"/>
    <col min="8196" max="8196" width="5.28515625" style="106" customWidth="1"/>
    <col min="8197" max="8197" width="11.28515625" style="106" customWidth="1"/>
    <col min="8198" max="8198" width="6.85546875" style="106" customWidth="1"/>
    <col min="8199" max="8199" width="8.7109375" style="106" customWidth="1"/>
    <col min="8200" max="8200" width="9.7109375" style="106" customWidth="1"/>
    <col min="8201" max="8201" width="8.140625" style="106" customWidth="1"/>
    <col min="8202" max="8448" width="9.140625" style="106"/>
    <col min="8449" max="8449" width="36.28515625" style="106" customWidth="1"/>
    <col min="8450" max="8450" width="6.140625" style="106" customWidth="1"/>
    <col min="8451" max="8451" width="5.140625" style="106" customWidth="1"/>
    <col min="8452" max="8452" width="5.28515625" style="106" customWidth="1"/>
    <col min="8453" max="8453" width="11.28515625" style="106" customWidth="1"/>
    <col min="8454" max="8454" width="6.85546875" style="106" customWidth="1"/>
    <col min="8455" max="8455" width="8.7109375" style="106" customWidth="1"/>
    <col min="8456" max="8456" width="9.7109375" style="106" customWidth="1"/>
    <col min="8457" max="8457" width="8.140625" style="106" customWidth="1"/>
    <col min="8458" max="8704" width="9.140625" style="106"/>
    <col min="8705" max="8705" width="36.28515625" style="106" customWidth="1"/>
    <col min="8706" max="8706" width="6.140625" style="106" customWidth="1"/>
    <col min="8707" max="8707" width="5.140625" style="106" customWidth="1"/>
    <col min="8708" max="8708" width="5.28515625" style="106" customWidth="1"/>
    <col min="8709" max="8709" width="11.28515625" style="106" customWidth="1"/>
    <col min="8710" max="8710" width="6.85546875" style="106" customWidth="1"/>
    <col min="8711" max="8711" width="8.7109375" style="106" customWidth="1"/>
    <col min="8712" max="8712" width="9.7109375" style="106" customWidth="1"/>
    <col min="8713" max="8713" width="8.140625" style="106" customWidth="1"/>
    <col min="8714" max="8960" width="9.140625" style="106"/>
    <col min="8961" max="8961" width="36.28515625" style="106" customWidth="1"/>
    <col min="8962" max="8962" width="6.140625" style="106" customWidth="1"/>
    <col min="8963" max="8963" width="5.140625" style="106" customWidth="1"/>
    <col min="8964" max="8964" width="5.28515625" style="106" customWidth="1"/>
    <col min="8965" max="8965" width="11.28515625" style="106" customWidth="1"/>
    <col min="8966" max="8966" width="6.85546875" style="106" customWidth="1"/>
    <col min="8967" max="8967" width="8.7109375" style="106" customWidth="1"/>
    <col min="8968" max="8968" width="9.7109375" style="106" customWidth="1"/>
    <col min="8969" max="8969" width="8.140625" style="106" customWidth="1"/>
    <col min="8970" max="9216" width="9.140625" style="106"/>
    <col min="9217" max="9217" width="36.28515625" style="106" customWidth="1"/>
    <col min="9218" max="9218" width="6.140625" style="106" customWidth="1"/>
    <col min="9219" max="9219" width="5.140625" style="106" customWidth="1"/>
    <col min="9220" max="9220" width="5.28515625" style="106" customWidth="1"/>
    <col min="9221" max="9221" width="11.28515625" style="106" customWidth="1"/>
    <col min="9222" max="9222" width="6.85546875" style="106" customWidth="1"/>
    <col min="9223" max="9223" width="8.7109375" style="106" customWidth="1"/>
    <col min="9224" max="9224" width="9.7109375" style="106" customWidth="1"/>
    <col min="9225" max="9225" width="8.140625" style="106" customWidth="1"/>
    <col min="9226" max="9472" width="9.140625" style="106"/>
    <col min="9473" max="9473" width="36.28515625" style="106" customWidth="1"/>
    <col min="9474" max="9474" width="6.140625" style="106" customWidth="1"/>
    <col min="9475" max="9475" width="5.140625" style="106" customWidth="1"/>
    <col min="9476" max="9476" width="5.28515625" style="106" customWidth="1"/>
    <col min="9477" max="9477" width="11.28515625" style="106" customWidth="1"/>
    <col min="9478" max="9478" width="6.85546875" style="106" customWidth="1"/>
    <col min="9479" max="9479" width="8.7109375" style="106" customWidth="1"/>
    <col min="9480" max="9480" width="9.7109375" style="106" customWidth="1"/>
    <col min="9481" max="9481" width="8.140625" style="106" customWidth="1"/>
    <col min="9482" max="9728" width="9.140625" style="106"/>
    <col min="9729" max="9729" width="36.28515625" style="106" customWidth="1"/>
    <col min="9730" max="9730" width="6.140625" style="106" customWidth="1"/>
    <col min="9731" max="9731" width="5.140625" style="106" customWidth="1"/>
    <col min="9732" max="9732" width="5.28515625" style="106" customWidth="1"/>
    <col min="9733" max="9733" width="11.28515625" style="106" customWidth="1"/>
    <col min="9734" max="9734" width="6.85546875" style="106" customWidth="1"/>
    <col min="9735" max="9735" width="8.7109375" style="106" customWidth="1"/>
    <col min="9736" max="9736" width="9.7109375" style="106" customWidth="1"/>
    <col min="9737" max="9737" width="8.140625" style="106" customWidth="1"/>
    <col min="9738" max="9984" width="9.140625" style="106"/>
    <col min="9985" max="9985" width="36.28515625" style="106" customWidth="1"/>
    <col min="9986" max="9986" width="6.140625" style="106" customWidth="1"/>
    <col min="9987" max="9987" width="5.140625" style="106" customWidth="1"/>
    <col min="9988" max="9988" width="5.28515625" style="106" customWidth="1"/>
    <col min="9989" max="9989" width="11.28515625" style="106" customWidth="1"/>
    <col min="9990" max="9990" width="6.85546875" style="106" customWidth="1"/>
    <col min="9991" max="9991" width="8.7109375" style="106" customWidth="1"/>
    <col min="9992" max="9992" width="9.7109375" style="106" customWidth="1"/>
    <col min="9993" max="9993" width="8.140625" style="106" customWidth="1"/>
    <col min="9994" max="10240" width="9.140625" style="106"/>
    <col min="10241" max="10241" width="36.28515625" style="106" customWidth="1"/>
    <col min="10242" max="10242" width="6.140625" style="106" customWidth="1"/>
    <col min="10243" max="10243" width="5.140625" style="106" customWidth="1"/>
    <col min="10244" max="10244" width="5.28515625" style="106" customWidth="1"/>
    <col min="10245" max="10245" width="11.28515625" style="106" customWidth="1"/>
    <col min="10246" max="10246" width="6.85546875" style="106" customWidth="1"/>
    <col min="10247" max="10247" width="8.7109375" style="106" customWidth="1"/>
    <col min="10248" max="10248" width="9.7109375" style="106" customWidth="1"/>
    <col min="10249" max="10249" width="8.140625" style="106" customWidth="1"/>
    <col min="10250" max="10496" width="9.140625" style="106"/>
    <col min="10497" max="10497" width="36.28515625" style="106" customWidth="1"/>
    <col min="10498" max="10498" width="6.140625" style="106" customWidth="1"/>
    <col min="10499" max="10499" width="5.140625" style="106" customWidth="1"/>
    <col min="10500" max="10500" width="5.28515625" style="106" customWidth="1"/>
    <col min="10501" max="10501" width="11.28515625" style="106" customWidth="1"/>
    <col min="10502" max="10502" width="6.85546875" style="106" customWidth="1"/>
    <col min="10503" max="10503" width="8.7109375" style="106" customWidth="1"/>
    <col min="10504" max="10504" width="9.7109375" style="106" customWidth="1"/>
    <col min="10505" max="10505" width="8.140625" style="106" customWidth="1"/>
    <col min="10506" max="10752" width="9.140625" style="106"/>
    <col min="10753" max="10753" width="36.28515625" style="106" customWidth="1"/>
    <col min="10754" max="10754" width="6.140625" style="106" customWidth="1"/>
    <col min="10755" max="10755" width="5.140625" style="106" customWidth="1"/>
    <col min="10756" max="10756" width="5.28515625" style="106" customWidth="1"/>
    <col min="10757" max="10757" width="11.28515625" style="106" customWidth="1"/>
    <col min="10758" max="10758" width="6.85546875" style="106" customWidth="1"/>
    <col min="10759" max="10759" width="8.7109375" style="106" customWidth="1"/>
    <col min="10760" max="10760" width="9.7109375" style="106" customWidth="1"/>
    <col min="10761" max="10761" width="8.140625" style="106" customWidth="1"/>
    <col min="10762" max="11008" width="9.140625" style="106"/>
    <col min="11009" max="11009" width="36.28515625" style="106" customWidth="1"/>
    <col min="11010" max="11010" width="6.140625" style="106" customWidth="1"/>
    <col min="11011" max="11011" width="5.140625" style="106" customWidth="1"/>
    <col min="11012" max="11012" width="5.28515625" style="106" customWidth="1"/>
    <col min="11013" max="11013" width="11.28515625" style="106" customWidth="1"/>
    <col min="11014" max="11014" width="6.85546875" style="106" customWidth="1"/>
    <col min="11015" max="11015" width="8.7109375" style="106" customWidth="1"/>
    <col min="11016" max="11016" width="9.7109375" style="106" customWidth="1"/>
    <col min="11017" max="11017" width="8.140625" style="106" customWidth="1"/>
    <col min="11018" max="11264" width="9.140625" style="106"/>
    <col min="11265" max="11265" width="36.28515625" style="106" customWidth="1"/>
    <col min="11266" max="11266" width="6.140625" style="106" customWidth="1"/>
    <col min="11267" max="11267" width="5.140625" style="106" customWidth="1"/>
    <col min="11268" max="11268" width="5.28515625" style="106" customWidth="1"/>
    <col min="11269" max="11269" width="11.28515625" style="106" customWidth="1"/>
    <col min="11270" max="11270" width="6.85546875" style="106" customWidth="1"/>
    <col min="11271" max="11271" width="8.7109375" style="106" customWidth="1"/>
    <col min="11272" max="11272" width="9.7109375" style="106" customWidth="1"/>
    <col min="11273" max="11273" width="8.140625" style="106" customWidth="1"/>
    <col min="11274" max="11520" width="9.140625" style="106"/>
    <col min="11521" max="11521" width="36.28515625" style="106" customWidth="1"/>
    <col min="11522" max="11522" width="6.140625" style="106" customWidth="1"/>
    <col min="11523" max="11523" width="5.140625" style="106" customWidth="1"/>
    <col min="11524" max="11524" width="5.28515625" style="106" customWidth="1"/>
    <col min="11525" max="11525" width="11.28515625" style="106" customWidth="1"/>
    <col min="11526" max="11526" width="6.85546875" style="106" customWidth="1"/>
    <col min="11527" max="11527" width="8.7109375" style="106" customWidth="1"/>
    <col min="11528" max="11528" width="9.7109375" style="106" customWidth="1"/>
    <col min="11529" max="11529" width="8.140625" style="106" customWidth="1"/>
    <col min="11530" max="11776" width="9.140625" style="106"/>
    <col min="11777" max="11777" width="36.28515625" style="106" customWidth="1"/>
    <col min="11778" max="11778" width="6.140625" style="106" customWidth="1"/>
    <col min="11779" max="11779" width="5.140625" style="106" customWidth="1"/>
    <col min="11780" max="11780" width="5.28515625" style="106" customWidth="1"/>
    <col min="11781" max="11781" width="11.28515625" style="106" customWidth="1"/>
    <col min="11782" max="11782" width="6.85546875" style="106" customWidth="1"/>
    <col min="11783" max="11783" width="8.7109375" style="106" customWidth="1"/>
    <col min="11784" max="11784" width="9.7109375" style="106" customWidth="1"/>
    <col min="11785" max="11785" width="8.140625" style="106" customWidth="1"/>
    <col min="11786" max="12032" width="9.140625" style="106"/>
    <col min="12033" max="12033" width="36.28515625" style="106" customWidth="1"/>
    <col min="12034" max="12034" width="6.140625" style="106" customWidth="1"/>
    <col min="12035" max="12035" width="5.140625" style="106" customWidth="1"/>
    <col min="12036" max="12036" width="5.28515625" style="106" customWidth="1"/>
    <col min="12037" max="12037" width="11.28515625" style="106" customWidth="1"/>
    <col min="12038" max="12038" width="6.85546875" style="106" customWidth="1"/>
    <col min="12039" max="12039" width="8.7109375" style="106" customWidth="1"/>
    <col min="12040" max="12040" width="9.7109375" style="106" customWidth="1"/>
    <col min="12041" max="12041" width="8.140625" style="106" customWidth="1"/>
    <col min="12042" max="12288" width="9.140625" style="106"/>
    <col min="12289" max="12289" width="36.28515625" style="106" customWidth="1"/>
    <col min="12290" max="12290" width="6.140625" style="106" customWidth="1"/>
    <col min="12291" max="12291" width="5.140625" style="106" customWidth="1"/>
    <col min="12292" max="12292" width="5.28515625" style="106" customWidth="1"/>
    <col min="12293" max="12293" width="11.28515625" style="106" customWidth="1"/>
    <col min="12294" max="12294" width="6.85546875" style="106" customWidth="1"/>
    <col min="12295" max="12295" width="8.7109375" style="106" customWidth="1"/>
    <col min="12296" max="12296" width="9.7109375" style="106" customWidth="1"/>
    <col min="12297" max="12297" width="8.140625" style="106" customWidth="1"/>
    <col min="12298" max="12544" width="9.140625" style="106"/>
    <col min="12545" max="12545" width="36.28515625" style="106" customWidth="1"/>
    <col min="12546" max="12546" width="6.140625" style="106" customWidth="1"/>
    <col min="12547" max="12547" width="5.140625" style="106" customWidth="1"/>
    <col min="12548" max="12548" width="5.28515625" style="106" customWidth="1"/>
    <col min="12549" max="12549" width="11.28515625" style="106" customWidth="1"/>
    <col min="12550" max="12550" width="6.85546875" style="106" customWidth="1"/>
    <col min="12551" max="12551" width="8.7109375" style="106" customWidth="1"/>
    <col min="12552" max="12552" width="9.7109375" style="106" customWidth="1"/>
    <col min="12553" max="12553" width="8.140625" style="106" customWidth="1"/>
    <col min="12554" max="12800" width="9.140625" style="106"/>
    <col min="12801" max="12801" width="36.28515625" style="106" customWidth="1"/>
    <col min="12802" max="12802" width="6.140625" style="106" customWidth="1"/>
    <col min="12803" max="12803" width="5.140625" style="106" customWidth="1"/>
    <col min="12804" max="12804" width="5.28515625" style="106" customWidth="1"/>
    <col min="12805" max="12805" width="11.28515625" style="106" customWidth="1"/>
    <col min="12806" max="12806" width="6.85546875" style="106" customWidth="1"/>
    <col min="12807" max="12807" width="8.7109375" style="106" customWidth="1"/>
    <col min="12808" max="12808" width="9.7109375" style="106" customWidth="1"/>
    <col min="12809" max="12809" width="8.140625" style="106" customWidth="1"/>
    <col min="12810" max="13056" width="9.140625" style="106"/>
    <col min="13057" max="13057" width="36.28515625" style="106" customWidth="1"/>
    <col min="13058" max="13058" width="6.140625" style="106" customWidth="1"/>
    <col min="13059" max="13059" width="5.140625" style="106" customWidth="1"/>
    <col min="13060" max="13060" width="5.28515625" style="106" customWidth="1"/>
    <col min="13061" max="13061" width="11.28515625" style="106" customWidth="1"/>
    <col min="13062" max="13062" width="6.85546875" style="106" customWidth="1"/>
    <col min="13063" max="13063" width="8.7109375" style="106" customWidth="1"/>
    <col min="13064" max="13064" width="9.7109375" style="106" customWidth="1"/>
    <col min="13065" max="13065" width="8.140625" style="106" customWidth="1"/>
    <col min="13066" max="13312" width="9.140625" style="106"/>
    <col min="13313" max="13313" width="36.28515625" style="106" customWidth="1"/>
    <col min="13314" max="13314" width="6.140625" style="106" customWidth="1"/>
    <col min="13315" max="13315" width="5.140625" style="106" customWidth="1"/>
    <col min="13316" max="13316" width="5.28515625" style="106" customWidth="1"/>
    <col min="13317" max="13317" width="11.28515625" style="106" customWidth="1"/>
    <col min="13318" max="13318" width="6.85546875" style="106" customWidth="1"/>
    <col min="13319" max="13319" width="8.7109375" style="106" customWidth="1"/>
    <col min="13320" max="13320" width="9.7109375" style="106" customWidth="1"/>
    <col min="13321" max="13321" width="8.140625" style="106" customWidth="1"/>
    <col min="13322" max="13568" width="9.140625" style="106"/>
    <col min="13569" max="13569" width="36.28515625" style="106" customWidth="1"/>
    <col min="13570" max="13570" width="6.140625" style="106" customWidth="1"/>
    <col min="13571" max="13571" width="5.140625" style="106" customWidth="1"/>
    <col min="13572" max="13572" width="5.28515625" style="106" customWidth="1"/>
    <col min="13573" max="13573" width="11.28515625" style="106" customWidth="1"/>
    <col min="13574" max="13574" width="6.85546875" style="106" customWidth="1"/>
    <col min="13575" max="13575" width="8.7109375" style="106" customWidth="1"/>
    <col min="13576" max="13576" width="9.7109375" style="106" customWidth="1"/>
    <col min="13577" max="13577" width="8.140625" style="106" customWidth="1"/>
    <col min="13578" max="13824" width="9.140625" style="106"/>
    <col min="13825" max="13825" width="36.28515625" style="106" customWidth="1"/>
    <col min="13826" max="13826" width="6.140625" style="106" customWidth="1"/>
    <col min="13827" max="13827" width="5.140625" style="106" customWidth="1"/>
    <col min="13828" max="13828" width="5.28515625" style="106" customWidth="1"/>
    <col min="13829" max="13829" width="11.28515625" style="106" customWidth="1"/>
    <col min="13830" max="13830" width="6.85546875" style="106" customWidth="1"/>
    <col min="13831" max="13831" width="8.7109375" style="106" customWidth="1"/>
    <col min="13832" max="13832" width="9.7109375" style="106" customWidth="1"/>
    <col min="13833" max="13833" width="8.140625" style="106" customWidth="1"/>
    <col min="13834" max="14080" width="9.140625" style="106"/>
    <col min="14081" max="14081" width="36.28515625" style="106" customWidth="1"/>
    <col min="14082" max="14082" width="6.140625" style="106" customWidth="1"/>
    <col min="14083" max="14083" width="5.140625" style="106" customWidth="1"/>
    <col min="14084" max="14084" width="5.28515625" style="106" customWidth="1"/>
    <col min="14085" max="14085" width="11.28515625" style="106" customWidth="1"/>
    <col min="14086" max="14086" width="6.85546875" style="106" customWidth="1"/>
    <col min="14087" max="14087" width="8.7109375" style="106" customWidth="1"/>
    <col min="14088" max="14088" width="9.7109375" style="106" customWidth="1"/>
    <col min="14089" max="14089" width="8.140625" style="106" customWidth="1"/>
    <col min="14090" max="14336" width="9.140625" style="106"/>
    <col min="14337" max="14337" width="36.28515625" style="106" customWidth="1"/>
    <col min="14338" max="14338" width="6.140625" style="106" customWidth="1"/>
    <col min="14339" max="14339" width="5.140625" style="106" customWidth="1"/>
    <col min="14340" max="14340" width="5.28515625" style="106" customWidth="1"/>
    <col min="14341" max="14341" width="11.28515625" style="106" customWidth="1"/>
    <col min="14342" max="14342" width="6.85546875" style="106" customWidth="1"/>
    <col min="14343" max="14343" width="8.7109375" style="106" customWidth="1"/>
    <col min="14344" max="14344" width="9.7109375" style="106" customWidth="1"/>
    <col min="14345" max="14345" width="8.140625" style="106" customWidth="1"/>
    <col min="14346" max="14592" width="9.140625" style="106"/>
    <col min="14593" max="14593" width="36.28515625" style="106" customWidth="1"/>
    <col min="14594" max="14594" width="6.140625" style="106" customWidth="1"/>
    <col min="14595" max="14595" width="5.140625" style="106" customWidth="1"/>
    <col min="14596" max="14596" width="5.28515625" style="106" customWidth="1"/>
    <col min="14597" max="14597" width="11.28515625" style="106" customWidth="1"/>
    <col min="14598" max="14598" width="6.85546875" style="106" customWidth="1"/>
    <col min="14599" max="14599" width="8.7109375" style="106" customWidth="1"/>
    <col min="14600" max="14600" width="9.7109375" style="106" customWidth="1"/>
    <col min="14601" max="14601" width="8.140625" style="106" customWidth="1"/>
    <col min="14602" max="14848" width="9.140625" style="106"/>
    <col min="14849" max="14849" width="36.28515625" style="106" customWidth="1"/>
    <col min="14850" max="14850" width="6.140625" style="106" customWidth="1"/>
    <col min="14851" max="14851" width="5.140625" style="106" customWidth="1"/>
    <col min="14852" max="14852" width="5.28515625" style="106" customWidth="1"/>
    <col min="14853" max="14853" width="11.28515625" style="106" customWidth="1"/>
    <col min="14854" max="14854" width="6.85546875" style="106" customWidth="1"/>
    <col min="14855" max="14855" width="8.7109375" style="106" customWidth="1"/>
    <col min="14856" max="14856" width="9.7109375" style="106" customWidth="1"/>
    <col min="14857" max="14857" width="8.140625" style="106" customWidth="1"/>
    <col min="14858" max="15104" width="9.140625" style="106"/>
    <col min="15105" max="15105" width="36.28515625" style="106" customWidth="1"/>
    <col min="15106" max="15106" width="6.140625" style="106" customWidth="1"/>
    <col min="15107" max="15107" width="5.140625" style="106" customWidth="1"/>
    <col min="15108" max="15108" width="5.28515625" style="106" customWidth="1"/>
    <col min="15109" max="15109" width="11.28515625" style="106" customWidth="1"/>
    <col min="15110" max="15110" width="6.85546875" style="106" customWidth="1"/>
    <col min="15111" max="15111" width="8.7109375" style="106" customWidth="1"/>
    <col min="15112" max="15112" width="9.7109375" style="106" customWidth="1"/>
    <col min="15113" max="15113" width="8.140625" style="106" customWidth="1"/>
    <col min="15114" max="15360" width="9.140625" style="106"/>
    <col min="15361" max="15361" width="36.28515625" style="106" customWidth="1"/>
    <col min="15362" max="15362" width="6.140625" style="106" customWidth="1"/>
    <col min="15363" max="15363" width="5.140625" style="106" customWidth="1"/>
    <col min="15364" max="15364" width="5.28515625" style="106" customWidth="1"/>
    <col min="15365" max="15365" width="11.28515625" style="106" customWidth="1"/>
    <col min="15366" max="15366" width="6.85546875" style="106" customWidth="1"/>
    <col min="15367" max="15367" width="8.7109375" style="106" customWidth="1"/>
    <col min="15368" max="15368" width="9.7109375" style="106" customWidth="1"/>
    <col min="15369" max="15369" width="8.140625" style="106" customWidth="1"/>
    <col min="15370" max="15616" width="9.140625" style="106"/>
    <col min="15617" max="15617" width="36.28515625" style="106" customWidth="1"/>
    <col min="15618" max="15618" width="6.140625" style="106" customWidth="1"/>
    <col min="15619" max="15619" width="5.140625" style="106" customWidth="1"/>
    <col min="15620" max="15620" width="5.28515625" style="106" customWidth="1"/>
    <col min="15621" max="15621" width="11.28515625" style="106" customWidth="1"/>
    <col min="15622" max="15622" width="6.85546875" style="106" customWidth="1"/>
    <col min="15623" max="15623" width="8.7109375" style="106" customWidth="1"/>
    <col min="15624" max="15624" width="9.7109375" style="106" customWidth="1"/>
    <col min="15625" max="15625" width="8.140625" style="106" customWidth="1"/>
    <col min="15626" max="15872" width="9.140625" style="106"/>
    <col min="15873" max="15873" width="36.28515625" style="106" customWidth="1"/>
    <col min="15874" max="15874" width="6.140625" style="106" customWidth="1"/>
    <col min="15875" max="15875" width="5.140625" style="106" customWidth="1"/>
    <col min="15876" max="15876" width="5.28515625" style="106" customWidth="1"/>
    <col min="15877" max="15877" width="11.28515625" style="106" customWidth="1"/>
    <col min="15878" max="15878" width="6.85546875" style="106" customWidth="1"/>
    <col min="15879" max="15879" width="8.7109375" style="106" customWidth="1"/>
    <col min="15880" max="15880" width="9.7109375" style="106" customWidth="1"/>
    <col min="15881" max="15881" width="8.140625" style="106" customWidth="1"/>
    <col min="15882" max="16128" width="9.140625" style="106"/>
    <col min="16129" max="16129" width="36.28515625" style="106" customWidth="1"/>
    <col min="16130" max="16130" width="6.140625" style="106" customWidth="1"/>
    <col min="16131" max="16131" width="5.140625" style="106" customWidth="1"/>
    <col min="16132" max="16132" width="5.28515625" style="106" customWidth="1"/>
    <col min="16133" max="16133" width="11.28515625" style="106" customWidth="1"/>
    <col min="16134" max="16134" width="6.85546875" style="106" customWidth="1"/>
    <col min="16135" max="16135" width="8.7109375" style="106" customWidth="1"/>
    <col min="16136" max="16136" width="9.7109375" style="106" customWidth="1"/>
    <col min="16137" max="16137" width="8.140625" style="106" customWidth="1"/>
    <col min="16138" max="16384" width="9.140625" style="106"/>
  </cols>
  <sheetData>
    <row r="1" spans="1:19" ht="15" customHeight="1" x14ac:dyDescent="0.2">
      <c r="A1" s="105" t="s">
        <v>382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</row>
    <row r="2" spans="1:19" x14ac:dyDescent="0.2">
      <c r="D2" s="109"/>
      <c r="E2" s="109"/>
      <c r="F2" s="109"/>
      <c r="G2" s="109"/>
      <c r="H2" s="109"/>
    </row>
    <row r="3" spans="1:19" ht="34.5" customHeight="1" x14ac:dyDescent="0.2">
      <c r="A3" s="110" t="s">
        <v>383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</row>
    <row r="4" spans="1:19" s="108" customFormat="1" ht="63.75" customHeight="1" x14ac:dyDescent="0.25">
      <c r="A4" s="111" t="s">
        <v>268</v>
      </c>
      <c r="B4" s="111" t="s">
        <v>269</v>
      </c>
      <c r="C4" s="111" t="s">
        <v>384</v>
      </c>
      <c r="D4" s="111" t="s">
        <v>385</v>
      </c>
      <c r="E4" s="111" t="s">
        <v>386</v>
      </c>
      <c r="F4" s="111" t="s">
        <v>387</v>
      </c>
      <c r="G4" s="111" t="s">
        <v>388</v>
      </c>
      <c r="H4" s="111" t="s">
        <v>57</v>
      </c>
      <c r="I4" s="111" t="s">
        <v>286</v>
      </c>
      <c r="J4" s="111" t="s">
        <v>293</v>
      </c>
      <c r="K4" s="112" t="s">
        <v>294</v>
      </c>
      <c r="L4" s="112" t="s">
        <v>295</v>
      </c>
      <c r="M4" s="112" t="s">
        <v>296</v>
      </c>
      <c r="N4" s="113" t="s">
        <v>297</v>
      </c>
      <c r="O4" s="113" t="s">
        <v>298</v>
      </c>
      <c r="P4" s="113" t="s">
        <v>299</v>
      </c>
      <c r="Q4" s="113" t="s">
        <v>301</v>
      </c>
      <c r="R4" s="113" t="s">
        <v>302</v>
      </c>
      <c r="S4" s="113" t="s">
        <v>305</v>
      </c>
    </row>
    <row r="5" spans="1:19" s="119" customFormat="1" ht="21" customHeight="1" x14ac:dyDescent="0.2">
      <c r="A5" s="114" t="s">
        <v>309</v>
      </c>
      <c r="B5" s="115" t="s">
        <v>310</v>
      </c>
      <c r="C5" s="115"/>
      <c r="D5" s="115"/>
      <c r="E5" s="115"/>
      <c r="F5" s="115"/>
      <c r="G5" s="116">
        <f>G6+G22+G61+G67+G55+G49</f>
        <v>28717.4</v>
      </c>
      <c r="H5" s="116">
        <f>H6+H22+H61+H67+H55+H49</f>
        <v>36660.299999999996</v>
      </c>
      <c r="I5" s="117">
        <f>I6+I22+I61+I67+I55+I49</f>
        <v>36660.247750000002</v>
      </c>
      <c r="J5" s="117">
        <f>J6+J22+J61+J67+J55+J49</f>
        <v>35339.320940000005</v>
      </c>
      <c r="K5" s="116">
        <f>I5-H5</f>
        <v>-5.2249999993364327E-2</v>
      </c>
      <c r="L5" s="118">
        <f>I5/H5*100</f>
        <v>99.99985747525254</v>
      </c>
      <c r="M5" s="116">
        <f>J5-I5</f>
        <v>-1320.9268099999972</v>
      </c>
      <c r="N5" s="116">
        <f>J5/I5*100</f>
        <v>96.396841562534192</v>
      </c>
      <c r="O5" s="116">
        <f>J5/G5*100</f>
        <v>123.05891529177433</v>
      </c>
      <c r="P5" s="116">
        <f>J5/H5*100</f>
        <v>96.396704173179188</v>
      </c>
      <c r="Q5" s="116">
        <f>H5-G5</f>
        <v>7942.8999999999942</v>
      </c>
      <c r="R5" s="116">
        <f>H5/G5*100</f>
        <v>127.65884098142588</v>
      </c>
      <c r="S5" s="116">
        <f t="shared" ref="S5:S11" si="0">J5/$J$329*100</f>
        <v>34.337820990069986</v>
      </c>
    </row>
    <row r="6" spans="1:19" s="119" customFormat="1" ht="45" customHeight="1" x14ac:dyDescent="0.2">
      <c r="A6" s="120" t="s">
        <v>389</v>
      </c>
      <c r="B6" s="115" t="s">
        <v>310</v>
      </c>
      <c r="C6" s="115" t="s">
        <v>316</v>
      </c>
      <c r="D6" s="115"/>
      <c r="E6" s="115"/>
      <c r="F6" s="115"/>
      <c r="G6" s="116">
        <f t="shared" ref="G6:J7" si="1">G7</f>
        <v>7603.1</v>
      </c>
      <c r="H6" s="116">
        <f t="shared" si="1"/>
        <v>9916.6</v>
      </c>
      <c r="I6" s="117">
        <f t="shared" si="1"/>
        <v>9916.5582900000009</v>
      </c>
      <c r="J6" s="117">
        <f t="shared" si="1"/>
        <v>9916.5576899999996</v>
      </c>
      <c r="K6" s="116">
        <f t="shared" ref="K6:K10" si="2">I6-H6</f>
        <v>-4.1709999999511638E-2</v>
      </c>
      <c r="L6" s="118">
        <f t="shared" ref="L6:L102" si="3">I6/H6*100</f>
        <v>99.999579392130372</v>
      </c>
      <c r="M6" s="116">
        <f t="shared" ref="M6:M10" si="4">J6-I6</f>
        <v>-6.0000000121362973E-4</v>
      </c>
      <c r="N6" s="116">
        <f t="shared" ref="N6:N10" si="5">J6/I6*100</f>
        <v>99.999993949513694</v>
      </c>
      <c r="O6" s="116">
        <f t="shared" ref="O6:O10" si="6">J6/G6*100</f>
        <v>130.42782141494916</v>
      </c>
      <c r="P6" s="116">
        <f t="shared" ref="P6:P10" si="7">J6/H6*100</f>
        <v>99.999573341669517</v>
      </c>
      <c r="Q6" s="116">
        <f t="shared" ref="Q6:Q10" si="8">H6-G6</f>
        <v>2313.5</v>
      </c>
      <c r="R6" s="116">
        <f t="shared" ref="R6:R10" si="9">H6/G6*100</f>
        <v>130.42837789848878</v>
      </c>
      <c r="S6" s="116">
        <f t="shared" si="0"/>
        <v>9.6355270486111912</v>
      </c>
    </row>
    <row r="7" spans="1:19" ht="32.25" customHeight="1" x14ac:dyDescent="0.2">
      <c r="A7" s="121" t="s">
        <v>390</v>
      </c>
      <c r="B7" s="122" t="s">
        <v>310</v>
      </c>
      <c r="C7" s="122" t="s">
        <v>316</v>
      </c>
      <c r="D7" s="122" t="s">
        <v>391</v>
      </c>
      <c r="E7" s="122"/>
      <c r="F7" s="122"/>
      <c r="G7" s="123">
        <f t="shared" si="1"/>
        <v>7603.1</v>
      </c>
      <c r="H7" s="123">
        <f t="shared" si="1"/>
        <v>9916.6</v>
      </c>
      <c r="I7" s="124">
        <f t="shared" si="1"/>
        <v>9916.5582900000009</v>
      </c>
      <c r="J7" s="124">
        <f t="shared" si="1"/>
        <v>9916.5576899999996</v>
      </c>
      <c r="K7" s="123">
        <f t="shared" si="2"/>
        <v>-4.1709999999511638E-2</v>
      </c>
      <c r="L7" s="118">
        <f t="shared" si="3"/>
        <v>99.999579392130372</v>
      </c>
      <c r="M7" s="123">
        <f t="shared" si="4"/>
        <v>-6.0000000121362973E-4</v>
      </c>
      <c r="N7" s="123">
        <f t="shared" si="5"/>
        <v>99.999993949513694</v>
      </c>
      <c r="O7" s="123">
        <f t="shared" si="6"/>
        <v>130.42782141494916</v>
      </c>
      <c r="P7" s="123">
        <f t="shared" si="7"/>
        <v>99.999573341669517</v>
      </c>
      <c r="Q7" s="123">
        <f t="shared" si="8"/>
        <v>2313.5</v>
      </c>
      <c r="R7" s="123">
        <f t="shared" si="9"/>
        <v>130.42837789848878</v>
      </c>
      <c r="S7" s="123">
        <f t="shared" si="0"/>
        <v>9.6355270486111912</v>
      </c>
    </row>
    <row r="8" spans="1:19" ht="49.5" customHeight="1" x14ac:dyDescent="0.2">
      <c r="A8" s="125" t="s">
        <v>392</v>
      </c>
      <c r="B8" s="122" t="s">
        <v>310</v>
      </c>
      <c r="C8" s="122" t="s">
        <v>316</v>
      </c>
      <c r="D8" s="122" t="s">
        <v>393</v>
      </c>
      <c r="E8" s="122"/>
      <c r="F8" s="122"/>
      <c r="G8" s="123">
        <f>G9+G15</f>
        <v>7603.1</v>
      </c>
      <c r="H8" s="123">
        <f>H9+H15</f>
        <v>9916.6</v>
      </c>
      <c r="I8" s="124">
        <f>I9+I15</f>
        <v>9916.5582900000009</v>
      </c>
      <c r="J8" s="124">
        <f>J9+J15</f>
        <v>9916.5576899999996</v>
      </c>
      <c r="K8" s="123">
        <f t="shared" si="2"/>
        <v>-4.1709999999511638E-2</v>
      </c>
      <c r="L8" s="118">
        <f t="shared" si="3"/>
        <v>99.999579392130372</v>
      </c>
      <c r="M8" s="123">
        <f t="shared" si="4"/>
        <v>-6.0000000121362973E-4</v>
      </c>
      <c r="N8" s="123">
        <f t="shared" si="5"/>
        <v>99.999993949513694</v>
      </c>
      <c r="O8" s="123">
        <f t="shared" si="6"/>
        <v>130.42782141494916</v>
      </c>
      <c r="P8" s="123">
        <f t="shared" si="7"/>
        <v>99.999573341669517</v>
      </c>
      <c r="Q8" s="123">
        <f t="shared" si="8"/>
        <v>2313.5</v>
      </c>
      <c r="R8" s="123">
        <f t="shared" si="9"/>
        <v>130.42837789848878</v>
      </c>
      <c r="S8" s="123">
        <f t="shared" si="0"/>
        <v>9.6355270486111912</v>
      </c>
    </row>
    <row r="9" spans="1:19" ht="20.25" customHeight="1" x14ac:dyDescent="0.2">
      <c r="A9" s="126" t="s">
        <v>394</v>
      </c>
      <c r="B9" s="122" t="s">
        <v>310</v>
      </c>
      <c r="C9" s="122" t="s">
        <v>316</v>
      </c>
      <c r="D9" s="122" t="s">
        <v>395</v>
      </c>
      <c r="E9" s="122"/>
      <c r="F9" s="122"/>
      <c r="G9" s="127">
        <f t="shared" ref="G9:J10" si="10">G10</f>
        <v>2219.9</v>
      </c>
      <c r="H9" s="127">
        <f t="shared" si="10"/>
        <v>2934.6</v>
      </c>
      <c r="I9" s="124">
        <f t="shared" si="10"/>
        <v>2934.5773200000003</v>
      </c>
      <c r="J9" s="124">
        <f t="shared" si="10"/>
        <v>2934.5767500000002</v>
      </c>
      <c r="K9" s="123">
        <f t="shared" si="2"/>
        <v>-2.2679999999581923E-2</v>
      </c>
      <c r="L9" s="118">
        <f t="shared" si="3"/>
        <v>99.999227151911683</v>
      </c>
      <c r="M9" s="123">
        <f t="shared" si="4"/>
        <v>-5.7000000015250407E-4</v>
      </c>
      <c r="N9" s="123">
        <f t="shared" si="5"/>
        <v>99.999980576419091</v>
      </c>
      <c r="O9" s="123">
        <f t="shared" si="6"/>
        <v>132.19409658092707</v>
      </c>
      <c r="P9" s="123">
        <f t="shared" si="7"/>
        <v>99.999207728480883</v>
      </c>
      <c r="Q9" s="123">
        <f t="shared" si="8"/>
        <v>714.69999999999982</v>
      </c>
      <c r="R9" s="123">
        <f t="shared" si="9"/>
        <v>132.19514392540205</v>
      </c>
      <c r="S9" s="123">
        <f t="shared" si="0"/>
        <v>2.8514122072183015</v>
      </c>
    </row>
    <row r="10" spans="1:19" ht="62.25" customHeight="1" x14ac:dyDescent="0.2">
      <c r="A10" s="128" t="s">
        <v>396</v>
      </c>
      <c r="B10" s="122" t="s">
        <v>310</v>
      </c>
      <c r="C10" s="122" t="s">
        <v>316</v>
      </c>
      <c r="D10" s="122" t="s">
        <v>395</v>
      </c>
      <c r="E10" s="122" t="s">
        <v>397</v>
      </c>
      <c r="F10" s="122"/>
      <c r="G10" s="127">
        <f t="shared" si="10"/>
        <v>2219.9</v>
      </c>
      <c r="H10" s="127">
        <f t="shared" si="10"/>
        <v>2934.6</v>
      </c>
      <c r="I10" s="124">
        <f t="shared" si="10"/>
        <v>2934.5773200000003</v>
      </c>
      <c r="J10" s="124">
        <f t="shared" si="10"/>
        <v>2934.5767500000002</v>
      </c>
      <c r="K10" s="123">
        <f t="shared" si="2"/>
        <v>-2.2679999999581923E-2</v>
      </c>
      <c r="L10" s="118">
        <f t="shared" si="3"/>
        <v>99.999227151911683</v>
      </c>
      <c r="M10" s="123">
        <f t="shared" si="4"/>
        <v>-5.7000000015250407E-4</v>
      </c>
      <c r="N10" s="123">
        <f t="shared" si="5"/>
        <v>99.999980576419091</v>
      </c>
      <c r="O10" s="123">
        <f t="shared" si="6"/>
        <v>132.19409658092707</v>
      </c>
      <c r="P10" s="123">
        <f t="shared" si="7"/>
        <v>99.999207728480883</v>
      </c>
      <c r="Q10" s="123">
        <f t="shared" si="8"/>
        <v>714.69999999999982</v>
      </c>
      <c r="R10" s="123">
        <f t="shared" si="9"/>
        <v>132.19514392540205</v>
      </c>
      <c r="S10" s="123">
        <f t="shared" si="0"/>
        <v>2.8514122072183015</v>
      </c>
    </row>
    <row r="11" spans="1:19" ht="39.75" customHeight="1" x14ac:dyDescent="0.2">
      <c r="A11" s="125" t="s">
        <v>398</v>
      </c>
      <c r="B11" s="122" t="s">
        <v>310</v>
      </c>
      <c r="C11" s="122" t="s">
        <v>316</v>
      </c>
      <c r="D11" s="122" t="s">
        <v>395</v>
      </c>
      <c r="E11" s="122" t="s">
        <v>399</v>
      </c>
      <c r="F11" s="122"/>
      <c r="G11" s="127">
        <v>2219.9</v>
      </c>
      <c r="H11" s="127">
        <v>2934.6</v>
      </c>
      <c r="I11" s="124">
        <f>I13+I14+I12</f>
        <v>2934.5773200000003</v>
      </c>
      <c r="J11" s="124">
        <f>J13+J14+J12</f>
        <v>2934.5767500000002</v>
      </c>
      <c r="K11" s="123">
        <f>I11-H11</f>
        <v>-2.2679999999581923E-2</v>
      </c>
      <c r="L11" s="118">
        <f t="shared" si="3"/>
        <v>99.999227151911683</v>
      </c>
      <c r="M11" s="123">
        <f>J11-I11</f>
        <v>-5.7000000015250407E-4</v>
      </c>
      <c r="N11" s="123">
        <f>J11/I11*100</f>
        <v>99.999980576419091</v>
      </c>
      <c r="O11" s="123">
        <f>J11/G11*100</f>
        <v>132.19409658092707</v>
      </c>
      <c r="P11" s="123">
        <f>J11/H11*100</f>
        <v>99.999207728480883</v>
      </c>
      <c r="Q11" s="123">
        <f>H11-G11</f>
        <v>714.69999999999982</v>
      </c>
      <c r="R11" s="123">
        <f>H11/G11*100</f>
        <v>132.19514392540205</v>
      </c>
      <c r="S11" s="123">
        <f t="shared" si="0"/>
        <v>2.8514122072183015</v>
      </c>
    </row>
    <row r="12" spans="1:19" ht="23.25" customHeight="1" x14ac:dyDescent="0.2">
      <c r="A12" s="125"/>
      <c r="B12" s="122" t="s">
        <v>310</v>
      </c>
      <c r="C12" s="122" t="s">
        <v>316</v>
      </c>
      <c r="D12" s="122" t="s">
        <v>395</v>
      </c>
      <c r="E12" s="122" t="s">
        <v>400</v>
      </c>
      <c r="F12" s="122" t="s">
        <v>401</v>
      </c>
      <c r="G12" s="127"/>
      <c r="H12" s="127"/>
      <c r="I12" s="124">
        <v>2020.0594000000001</v>
      </c>
      <c r="J12" s="124">
        <v>2020.0594000000001</v>
      </c>
      <c r="K12" s="123"/>
      <c r="L12" s="118"/>
      <c r="M12" s="123">
        <f t="shared" ref="M12:M16" si="11">J12-I12</f>
        <v>0</v>
      </c>
      <c r="N12" s="123"/>
      <c r="O12" s="123"/>
      <c r="P12" s="123"/>
      <c r="Q12" s="123"/>
      <c r="R12" s="123"/>
      <c r="S12" s="123"/>
    </row>
    <row r="13" spans="1:19" ht="22.5" customHeight="1" x14ac:dyDescent="0.2">
      <c r="A13" s="125"/>
      <c r="B13" s="122" t="s">
        <v>310</v>
      </c>
      <c r="C13" s="122" t="s">
        <v>316</v>
      </c>
      <c r="D13" s="122" t="s">
        <v>395</v>
      </c>
      <c r="E13" s="122" t="s">
        <v>400</v>
      </c>
      <c r="F13" s="122" t="s">
        <v>402</v>
      </c>
      <c r="G13" s="127"/>
      <c r="H13" s="127"/>
      <c r="I13" s="124">
        <v>242.68257</v>
      </c>
      <c r="J13" s="124">
        <v>242.68199999999999</v>
      </c>
      <c r="K13" s="123"/>
      <c r="L13" s="118"/>
      <c r="M13" s="123">
        <f t="shared" si="11"/>
        <v>-5.7000000001039552E-4</v>
      </c>
      <c r="N13" s="123"/>
      <c r="O13" s="123"/>
      <c r="P13" s="123"/>
      <c r="Q13" s="123"/>
      <c r="R13" s="123"/>
      <c r="S13" s="123"/>
    </row>
    <row r="14" spans="1:19" ht="21.75" customHeight="1" x14ac:dyDescent="0.2">
      <c r="A14" s="125"/>
      <c r="B14" s="122" t="s">
        <v>310</v>
      </c>
      <c r="C14" s="122" t="s">
        <v>316</v>
      </c>
      <c r="D14" s="122" t="s">
        <v>395</v>
      </c>
      <c r="E14" s="122" t="s">
        <v>403</v>
      </c>
      <c r="F14" s="122" t="s">
        <v>404</v>
      </c>
      <c r="G14" s="127"/>
      <c r="H14" s="127"/>
      <c r="I14" s="124">
        <v>671.83534999999995</v>
      </c>
      <c r="J14" s="124">
        <v>671.83534999999995</v>
      </c>
      <c r="K14" s="123"/>
      <c r="L14" s="118"/>
      <c r="M14" s="123">
        <f t="shared" si="11"/>
        <v>0</v>
      </c>
      <c r="N14" s="123"/>
      <c r="O14" s="123"/>
      <c r="P14" s="123"/>
      <c r="Q14" s="123"/>
      <c r="R14" s="123"/>
      <c r="S14" s="123"/>
    </row>
    <row r="15" spans="1:19" ht="30.75" customHeight="1" x14ac:dyDescent="0.2">
      <c r="A15" s="125" t="s">
        <v>405</v>
      </c>
      <c r="B15" s="122" t="s">
        <v>310</v>
      </c>
      <c r="C15" s="122" t="s">
        <v>316</v>
      </c>
      <c r="D15" s="122" t="s">
        <v>406</v>
      </c>
      <c r="E15" s="122"/>
      <c r="F15" s="122"/>
      <c r="G15" s="123">
        <f t="shared" ref="G15:J16" si="12">G16</f>
        <v>5383.2</v>
      </c>
      <c r="H15" s="123">
        <f t="shared" si="12"/>
        <v>6982</v>
      </c>
      <c r="I15" s="124">
        <f t="shared" si="12"/>
        <v>6981.9809699999996</v>
      </c>
      <c r="J15" s="124">
        <f t="shared" si="12"/>
        <v>6981.9809399999995</v>
      </c>
      <c r="K15" s="123">
        <f t="shared" ref="K15:K17" si="13">I15-H15</f>
        <v>-1.9030000000384462E-2</v>
      </c>
      <c r="L15" s="118">
        <f t="shared" si="3"/>
        <v>99.999727441993684</v>
      </c>
      <c r="M15" s="123">
        <f t="shared" si="11"/>
        <v>-3.0000000151630957E-5</v>
      </c>
      <c r="N15" s="123">
        <f t="shared" ref="N15:N17" si="14">J15/I15*100</f>
        <v>99.999999570322515</v>
      </c>
      <c r="O15" s="123">
        <f t="shared" ref="O15:O17" si="15">J15/G15*100</f>
        <v>129.69945274186355</v>
      </c>
      <c r="P15" s="123">
        <f t="shared" ref="P15:P17" si="16">J15/H15*100</f>
        <v>99.999727012317379</v>
      </c>
      <c r="Q15" s="123">
        <f t="shared" ref="Q15:Q17" si="17">H15-G15</f>
        <v>1598.8000000000002</v>
      </c>
      <c r="R15" s="123">
        <f t="shared" ref="R15:R17" si="18">H15/G15*100</f>
        <v>129.69980680636053</v>
      </c>
      <c r="S15" s="123">
        <f>J15/$J$329*100</f>
        <v>6.7841148413928885</v>
      </c>
    </row>
    <row r="16" spans="1:19" ht="60" customHeight="1" x14ac:dyDescent="0.2">
      <c r="A16" s="128" t="s">
        <v>396</v>
      </c>
      <c r="B16" s="122" t="s">
        <v>310</v>
      </c>
      <c r="C16" s="122" t="s">
        <v>316</v>
      </c>
      <c r="D16" s="122" t="s">
        <v>406</v>
      </c>
      <c r="E16" s="122" t="s">
        <v>397</v>
      </c>
      <c r="F16" s="122"/>
      <c r="G16" s="123">
        <f t="shared" si="12"/>
        <v>5383.2</v>
      </c>
      <c r="H16" s="123">
        <f t="shared" si="12"/>
        <v>6982</v>
      </c>
      <c r="I16" s="124">
        <f t="shared" si="12"/>
        <v>6981.9809699999996</v>
      </c>
      <c r="J16" s="124">
        <f t="shared" si="12"/>
        <v>6981.9809399999995</v>
      </c>
      <c r="K16" s="123">
        <f t="shared" si="13"/>
        <v>-1.9030000000384462E-2</v>
      </c>
      <c r="L16" s="118">
        <f t="shared" si="3"/>
        <v>99.999727441993684</v>
      </c>
      <c r="M16" s="123">
        <f t="shared" si="11"/>
        <v>-3.0000000151630957E-5</v>
      </c>
      <c r="N16" s="123">
        <f t="shared" si="14"/>
        <v>99.999999570322515</v>
      </c>
      <c r="O16" s="123">
        <f t="shared" si="15"/>
        <v>129.69945274186355</v>
      </c>
      <c r="P16" s="123">
        <f t="shared" si="16"/>
        <v>99.999727012317379</v>
      </c>
      <c r="Q16" s="123">
        <f t="shared" si="17"/>
        <v>1598.8000000000002</v>
      </c>
      <c r="R16" s="123">
        <f t="shared" si="18"/>
        <v>129.69980680636053</v>
      </c>
      <c r="S16" s="123">
        <f>J16/$J$329*100</f>
        <v>6.7841148413928885</v>
      </c>
    </row>
    <row r="17" spans="1:19" ht="41.25" customHeight="1" x14ac:dyDescent="0.2">
      <c r="A17" s="125" t="s">
        <v>398</v>
      </c>
      <c r="B17" s="122" t="s">
        <v>310</v>
      </c>
      <c r="C17" s="122" t="s">
        <v>316</v>
      </c>
      <c r="D17" s="122" t="s">
        <v>406</v>
      </c>
      <c r="E17" s="122" t="s">
        <v>399</v>
      </c>
      <c r="F17" s="122"/>
      <c r="G17" s="123">
        <v>5383.2</v>
      </c>
      <c r="H17" s="123">
        <v>6982</v>
      </c>
      <c r="I17" s="124">
        <f>I18+I19+I20+I21</f>
        <v>6981.9809699999996</v>
      </c>
      <c r="J17" s="124">
        <f>J18+J19+J20+J21</f>
        <v>6981.9809399999995</v>
      </c>
      <c r="K17" s="123">
        <f t="shared" si="13"/>
        <v>-1.9030000000384462E-2</v>
      </c>
      <c r="L17" s="118">
        <f t="shared" si="3"/>
        <v>99.999727441993684</v>
      </c>
      <c r="M17" s="123">
        <f>J17-I17</f>
        <v>-3.0000000151630957E-5</v>
      </c>
      <c r="N17" s="123">
        <f t="shared" si="14"/>
        <v>99.999999570322515</v>
      </c>
      <c r="O17" s="123">
        <f t="shared" si="15"/>
        <v>129.69945274186355</v>
      </c>
      <c r="P17" s="123">
        <f t="shared" si="16"/>
        <v>99.999727012317379</v>
      </c>
      <c r="Q17" s="123">
        <f t="shared" si="17"/>
        <v>1598.8000000000002</v>
      </c>
      <c r="R17" s="123">
        <f t="shared" si="18"/>
        <v>129.69980680636053</v>
      </c>
      <c r="S17" s="123">
        <f>J17/$J$329*100</f>
        <v>6.7841148413928885</v>
      </c>
    </row>
    <row r="18" spans="1:19" ht="22.5" customHeight="1" x14ac:dyDescent="0.2">
      <c r="A18" s="125"/>
      <c r="B18" s="122" t="s">
        <v>310</v>
      </c>
      <c r="C18" s="122" t="s">
        <v>316</v>
      </c>
      <c r="D18" s="122" t="s">
        <v>406</v>
      </c>
      <c r="E18" s="122" t="s">
        <v>400</v>
      </c>
      <c r="F18" s="122" t="s">
        <v>401</v>
      </c>
      <c r="G18" s="123"/>
      <c r="H18" s="123"/>
      <c r="I18" s="124">
        <v>5188.0020000000004</v>
      </c>
      <c r="J18" s="124">
        <v>5188.0020000000004</v>
      </c>
      <c r="K18" s="123"/>
      <c r="L18" s="118"/>
      <c r="M18" s="123">
        <f t="shared" ref="M18:M21" si="19">J18-I18</f>
        <v>0</v>
      </c>
      <c r="N18" s="123"/>
      <c r="O18" s="123"/>
      <c r="P18" s="123"/>
      <c r="Q18" s="123"/>
      <c r="R18" s="123"/>
      <c r="S18" s="123"/>
    </row>
    <row r="19" spans="1:19" ht="19.5" customHeight="1" x14ac:dyDescent="0.2">
      <c r="A19" s="125"/>
      <c r="B19" s="122" t="s">
        <v>310</v>
      </c>
      <c r="C19" s="122" t="s">
        <v>316</v>
      </c>
      <c r="D19" s="122" t="s">
        <v>406</v>
      </c>
      <c r="E19" s="122" t="s">
        <v>407</v>
      </c>
      <c r="F19" s="122" t="s">
        <v>408</v>
      </c>
      <c r="G19" s="123"/>
      <c r="H19" s="123"/>
      <c r="I19" s="124">
        <v>114.01300000000001</v>
      </c>
      <c r="J19" s="124">
        <v>114.01300000000001</v>
      </c>
      <c r="K19" s="123"/>
      <c r="L19" s="118"/>
      <c r="M19" s="123">
        <f t="shared" si="19"/>
        <v>0</v>
      </c>
      <c r="N19" s="123"/>
      <c r="O19" s="123"/>
      <c r="P19" s="123"/>
      <c r="Q19" s="123"/>
      <c r="R19" s="123"/>
      <c r="S19" s="123"/>
    </row>
    <row r="20" spans="1:19" ht="21" customHeight="1" x14ac:dyDescent="0.2">
      <c r="A20" s="125"/>
      <c r="B20" s="122" t="s">
        <v>310</v>
      </c>
      <c r="C20" s="122" t="s">
        <v>316</v>
      </c>
      <c r="D20" s="122" t="s">
        <v>406</v>
      </c>
      <c r="E20" s="122" t="s">
        <v>407</v>
      </c>
      <c r="F20" s="122" t="s">
        <v>409</v>
      </c>
      <c r="G20" s="123"/>
      <c r="H20" s="123"/>
      <c r="I20" s="124">
        <v>113.19</v>
      </c>
      <c r="J20" s="124">
        <v>113.19</v>
      </c>
      <c r="K20" s="123"/>
      <c r="L20" s="118"/>
      <c r="M20" s="123">
        <f t="shared" si="19"/>
        <v>0</v>
      </c>
      <c r="N20" s="123"/>
      <c r="O20" s="123"/>
      <c r="P20" s="123"/>
      <c r="Q20" s="123"/>
      <c r="R20" s="123"/>
      <c r="S20" s="123"/>
    </row>
    <row r="21" spans="1:19" ht="16.5" customHeight="1" x14ac:dyDescent="0.2">
      <c r="A21" s="125"/>
      <c r="B21" s="122" t="s">
        <v>310</v>
      </c>
      <c r="C21" s="122" t="s">
        <v>316</v>
      </c>
      <c r="D21" s="122" t="s">
        <v>406</v>
      </c>
      <c r="E21" s="122" t="s">
        <v>410</v>
      </c>
      <c r="F21" s="122" t="s">
        <v>404</v>
      </c>
      <c r="G21" s="123"/>
      <c r="H21" s="123"/>
      <c r="I21" s="124">
        <v>1566.7759699999999</v>
      </c>
      <c r="J21" s="124">
        <v>1566.77594</v>
      </c>
      <c r="K21" s="123"/>
      <c r="L21" s="118"/>
      <c r="M21" s="123">
        <f t="shared" si="19"/>
        <v>-2.9999999924257281E-5</v>
      </c>
      <c r="N21" s="123"/>
      <c r="O21" s="123"/>
      <c r="P21" s="123"/>
      <c r="Q21" s="123"/>
      <c r="R21" s="123"/>
      <c r="S21" s="123"/>
    </row>
    <row r="22" spans="1:19" s="119" customFormat="1" ht="36.75" customHeight="1" x14ac:dyDescent="0.2">
      <c r="A22" s="120" t="s">
        <v>411</v>
      </c>
      <c r="B22" s="115" t="s">
        <v>310</v>
      </c>
      <c r="C22" s="115" t="s">
        <v>319</v>
      </c>
      <c r="D22" s="115"/>
      <c r="E22" s="115"/>
      <c r="F22" s="115"/>
      <c r="G22" s="129">
        <f t="shared" ref="G22:J23" si="20">G23</f>
        <v>16638.8</v>
      </c>
      <c r="H22" s="129">
        <f t="shared" si="20"/>
        <v>18260.399999999998</v>
      </c>
      <c r="I22" s="117">
        <f t="shared" si="20"/>
        <v>18260.386480000001</v>
      </c>
      <c r="J22" s="117">
        <f t="shared" si="20"/>
        <v>17780.95981</v>
      </c>
      <c r="K22" s="116">
        <f>I22-H22</f>
        <v>-1.3519999996788101E-2</v>
      </c>
      <c r="L22" s="118">
        <f t="shared" si="3"/>
        <v>99.999925960000894</v>
      </c>
      <c r="M22" s="116">
        <f>J22-I22</f>
        <v>-479.42667000000074</v>
      </c>
      <c r="N22" s="116">
        <f>J22/I22*100</f>
        <v>97.374498778954646</v>
      </c>
      <c r="O22" s="116">
        <f>J22/G22*100</f>
        <v>106.86443619732194</v>
      </c>
      <c r="P22" s="116">
        <f>J22/H22*100</f>
        <v>97.374426682876631</v>
      </c>
      <c r="Q22" s="116">
        <f>H22-G22</f>
        <v>1621.5999999999985</v>
      </c>
      <c r="R22" s="116">
        <f>H22/G22*100</f>
        <v>109.74589513666851</v>
      </c>
      <c r="S22" s="116">
        <f t="shared" ref="S22:S27" si="21">J22/$J$329*100</f>
        <v>17.27705566340768</v>
      </c>
    </row>
    <row r="23" spans="1:19" ht="26.25" customHeight="1" x14ac:dyDescent="0.2">
      <c r="A23" s="121" t="s">
        <v>390</v>
      </c>
      <c r="B23" s="122" t="s">
        <v>310</v>
      </c>
      <c r="C23" s="122" t="s">
        <v>319</v>
      </c>
      <c r="D23" s="122" t="s">
        <v>391</v>
      </c>
      <c r="E23" s="122"/>
      <c r="F23" s="122"/>
      <c r="G23" s="127">
        <f t="shared" si="20"/>
        <v>16638.8</v>
      </c>
      <c r="H23" s="127">
        <f t="shared" si="20"/>
        <v>18260.399999999998</v>
      </c>
      <c r="I23" s="124">
        <f t="shared" si="20"/>
        <v>18260.386480000001</v>
      </c>
      <c r="J23" s="124">
        <f t="shared" si="20"/>
        <v>17780.95981</v>
      </c>
      <c r="K23" s="123">
        <f t="shared" ref="K23:K27" si="22">I23-H23</f>
        <v>-1.3519999996788101E-2</v>
      </c>
      <c r="L23" s="118">
        <f t="shared" si="3"/>
        <v>99.999925960000894</v>
      </c>
      <c r="M23" s="123">
        <f t="shared" ref="M23:M34" si="23">J23-I23</f>
        <v>-479.42667000000074</v>
      </c>
      <c r="N23" s="123">
        <f t="shared" ref="N23:N27" si="24">J23/I23*100</f>
        <v>97.374498778954646</v>
      </c>
      <c r="O23" s="123">
        <f t="shared" ref="O23:O27" si="25">J23/G23*100</f>
        <v>106.86443619732194</v>
      </c>
      <c r="P23" s="123">
        <f t="shared" ref="P23:P27" si="26">J23/H23*100</f>
        <v>97.374426682876631</v>
      </c>
      <c r="Q23" s="123">
        <f t="shared" ref="Q23:Q27" si="27">H23-G23</f>
        <v>1621.5999999999985</v>
      </c>
      <c r="R23" s="123">
        <f t="shared" ref="R23:R27" si="28">H23/G23*100</f>
        <v>109.74589513666851</v>
      </c>
      <c r="S23" s="123">
        <f t="shared" si="21"/>
        <v>17.27705566340768</v>
      </c>
    </row>
    <row r="24" spans="1:19" ht="50.25" customHeight="1" x14ac:dyDescent="0.2">
      <c r="A24" s="125" t="s">
        <v>392</v>
      </c>
      <c r="B24" s="122" t="s">
        <v>310</v>
      </c>
      <c r="C24" s="122" t="s">
        <v>319</v>
      </c>
      <c r="D24" s="122" t="s">
        <v>393</v>
      </c>
      <c r="E24" s="122"/>
      <c r="F24" s="122"/>
      <c r="G24" s="123">
        <f>G25+G44</f>
        <v>16638.8</v>
      </c>
      <c r="H24" s="123">
        <f>H25+H44</f>
        <v>18260.399999999998</v>
      </c>
      <c r="I24" s="124">
        <f>I25+I44</f>
        <v>18260.386480000001</v>
      </c>
      <c r="J24" s="124">
        <f>J25+J44</f>
        <v>17780.95981</v>
      </c>
      <c r="K24" s="123">
        <f t="shared" si="22"/>
        <v>-1.3519999996788101E-2</v>
      </c>
      <c r="L24" s="118">
        <f t="shared" si="3"/>
        <v>99.999925960000894</v>
      </c>
      <c r="M24" s="123">
        <f t="shared" si="23"/>
        <v>-479.42667000000074</v>
      </c>
      <c r="N24" s="123">
        <f t="shared" si="24"/>
        <v>97.374498778954646</v>
      </c>
      <c r="O24" s="123">
        <f t="shared" si="25"/>
        <v>106.86443619732194</v>
      </c>
      <c r="P24" s="123">
        <f t="shared" si="26"/>
        <v>97.374426682876631</v>
      </c>
      <c r="Q24" s="123">
        <f t="shared" si="27"/>
        <v>1621.5999999999985</v>
      </c>
      <c r="R24" s="123">
        <f t="shared" si="28"/>
        <v>109.74589513666851</v>
      </c>
      <c r="S24" s="123">
        <f t="shared" si="21"/>
        <v>17.27705566340768</v>
      </c>
    </row>
    <row r="25" spans="1:19" ht="37.5" customHeight="1" x14ac:dyDescent="0.2">
      <c r="A25" s="125" t="s">
        <v>412</v>
      </c>
      <c r="B25" s="122" t="s">
        <v>310</v>
      </c>
      <c r="C25" s="122" t="s">
        <v>319</v>
      </c>
      <c r="D25" s="122" t="s">
        <v>413</v>
      </c>
      <c r="E25" s="122"/>
      <c r="F25" s="122"/>
      <c r="G25" s="127">
        <f>G26+G35</f>
        <v>16638.8</v>
      </c>
      <c r="H25" s="127">
        <f>H26+H35</f>
        <v>17380.8</v>
      </c>
      <c r="I25" s="124">
        <f>I26+I35</f>
        <v>17380.758180000001</v>
      </c>
      <c r="J25" s="124">
        <f>J26+J35</f>
        <v>17088.06681</v>
      </c>
      <c r="K25" s="123">
        <f t="shared" si="22"/>
        <v>-4.1819999998551793E-2</v>
      </c>
      <c r="L25" s="118">
        <f t="shared" si="3"/>
        <v>99.999759389671368</v>
      </c>
      <c r="M25" s="123">
        <f t="shared" si="23"/>
        <v>-292.69137000000046</v>
      </c>
      <c r="N25" s="123">
        <f t="shared" si="24"/>
        <v>98.316003439154926</v>
      </c>
      <c r="O25" s="123">
        <f t="shared" si="25"/>
        <v>102.70011545303748</v>
      </c>
      <c r="P25" s="123">
        <f t="shared" si="26"/>
        <v>98.315766880695946</v>
      </c>
      <c r="Q25" s="123">
        <f t="shared" si="27"/>
        <v>742</v>
      </c>
      <c r="R25" s="123">
        <f t="shared" si="28"/>
        <v>104.45945621078442</v>
      </c>
      <c r="S25" s="123">
        <f t="shared" si="21"/>
        <v>16.603798929367208</v>
      </c>
    </row>
    <row r="26" spans="1:19" ht="58.5" customHeight="1" x14ac:dyDescent="0.2">
      <c r="A26" s="128" t="s">
        <v>396</v>
      </c>
      <c r="B26" s="122" t="s">
        <v>310</v>
      </c>
      <c r="C26" s="122" t="s">
        <v>319</v>
      </c>
      <c r="D26" s="122" t="s">
        <v>413</v>
      </c>
      <c r="E26" s="122" t="s">
        <v>397</v>
      </c>
      <c r="F26" s="122"/>
      <c r="G26" s="123">
        <f>G27</f>
        <v>15658.8</v>
      </c>
      <c r="H26" s="123">
        <f>H27</f>
        <v>16324.8</v>
      </c>
      <c r="I26" s="124">
        <f>I27</f>
        <v>16324.78564</v>
      </c>
      <c r="J26" s="124">
        <f>J27</f>
        <v>16077.437380000001</v>
      </c>
      <c r="K26" s="123">
        <f t="shared" si="22"/>
        <v>-1.4359999999214779E-2</v>
      </c>
      <c r="L26" s="118">
        <f t="shared" si="3"/>
        <v>99.999912035675791</v>
      </c>
      <c r="M26" s="123">
        <f t="shared" si="23"/>
        <v>-247.34825999999885</v>
      </c>
      <c r="N26" s="123">
        <f t="shared" si="24"/>
        <v>98.48482996680869</v>
      </c>
      <c r="O26" s="123">
        <f t="shared" si="25"/>
        <v>102.67349592561372</v>
      </c>
      <c r="P26" s="123">
        <f t="shared" si="26"/>
        <v>98.484743335293558</v>
      </c>
      <c r="Q26" s="123">
        <f t="shared" si="27"/>
        <v>666</v>
      </c>
      <c r="R26" s="123">
        <f t="shared" si="28"/>
        <v>104.25319947888727</v>
      </c>
      <c r="S26" s="123">
        <f t="shared" si="21"/>
        <v>15.621810268250721</v>
      </c>
    </row>
    <row r="27" spans="1:19" ht="37.5" customHeight="1" x14ac:dyDescent="0.2">
      <c r="A27" s="125" t="s">
        <v>398</v>
      </c>
      <c r="B27" s="122" t="s">
        <v>310</v>
      </c>
      <c r="C27" s="122" t="s">
        <v>319</v>
      </c>
      <c r="D27" s="122" t="s">
        <v>413</v>
      </c>
      <c r="E27" s="122" t="s">
        <v>399</v>
      </c>
      <c r="F27" s="122"/>
      <c r="G27" s="123">
        <v>15658.8</v>
      </c>
      <c r="H27" s="123">
        <v>16324.8</v>
      </c>
      <c r="I27" s="124">
        <f>I28+I29+I30+I31+I32+I33+I34</f>
        <v>16324.78564</v>
      </c>
      <c r="J27" s="124">
        <f>J28+J29+J30+J31+J32+J33+J34</f>
        <v>16077.437380000001</v>
      </c>
      <c r="K27" s="123">
        <f t="shared" si="22"/>
        <v>-1.4359999999214779E-2</v>
      </c>
      <c r="L27" s="118">
        <f t="shared" si="3"/>
        <v>99.999912035675791</v>
      </c>
      <c r="M27" s="123">
        <f t="shared" si="23"/>
        <v>-247.34825999999885</v>
      </c>
      <c r="N27" s="123">
        <f t="shared" si="24"/>
        <v>98.48482996680869</v>
      </c>
      <c r="O27" s="123">
        <f t="shared" si="25"/>
        <v>102.67349592561372</v>
      </c>
      <c r="P27" s="123">
        <f t="shared" si="26"/>
        <v>98.484743335293558</v>
      </c>
      <c r="Q27" s="123">
        <f t="shared" si="27"/>
        <v>666</v>
      </c>
      <c r="R27" s="123">
        <f t="shared" si="28"/>
        <v>104.25319947888727</v>
      </c>
      <c r="S27" s="123">
        <f t="shared" si="21"/>
        <v>15.621810268250721</v>
      </c>
    </row>
    <row r="28" spans="1:19" ht="23.25" customHeight="1" x14ac:dyDescent="0.2">
      <c r="A28" s="125"/>
      <c r="B28" s="122" t="s">
        <v>310</v>
      </c>
      <c r="C28" s="122" t="s">
        <v>319</v>
      </c>
      <c r="D28" s="122" t="s">
        <v>413</v>
      </c>
      <c r="E28" s="122" t="s">
        <v>400</v>
      </c>
      <c r="F28" s="122" t="s">
        <v>401</v>
      </c>
      <c r="G28" s="123"/>
      <c r="H28" s="123"/>
      <c r="I28" s="124">
        <v>11736.89747</v>
      </c>
      <c r="J28" s="124">
        <v>11736.89747</v>
      </c>
      <c r="K28" s="123"/>
      <c r="L28" s="118"/>
      <c r="M28" s="123">
        <f t="shared" si="23"/>
        <v>0</v>
      </c>
      <c r="N28" s="123"/>
      <c r="O28" s="123"/>
      <c r="P28" s="123"/>
      <c r="Q28" s="123"/>
      <c r="R28" s="123"/>
      <c r="S28" s="123"/>
    </row>
    <row r="29" spans="1:19" ht="27" customHeight="1" x14ac:dyDescent="0.2">
      <c r="A29" s="125"/>
      <c r="B29" s="122" t="s">
        <v>310</v>
      </c>
      <c r="C29" s="122" t="s">
        <v>319</v>
      </c>
      <c r="D29" s="122" t="s">
        <v>413</v>
      </c>
      <c r="E29" s="122" t="s">
        <v>400</v>
      </c>
      <c r="F29" s="122" t="s">
        <v>402</v>
      </c>
      <c r="G29" s="123"/>
      <c r="H29" s="123"/>
      <c r="I29" s="124">
        <v>110.54183</v>
      </c>
      <c r="J29" s="124">
        <v>110.54183</v>
      </c>
      <c r="K29" s="123"/>
      <c r="L29" s="118"/>
      <c r="M29" s="123">
        <f t="shared" si="23"/>
        <v>0</v>
      </c>
      <c r="N29" s="123"/>
      <c r="O29" s="123"/>
      <c r="P29" s="123"/>
      <c r="Q29" s="123"/>
      <c r="R29" s="123"/>
      <c r="S29" s="123"/>
    </row>
    <row r="30" spans="1:19" ht="20.25" customHeight="1" x14ac:dyDescent="0.2">
      <c r="A30" s="125"/>
      <c r="B30" s="122" t="s">
        <v>310</v>
      </c>
      <c r="C30" s="122" t="s">
        <v>319</v>
      </c>
      <c r="D30" s="122" t="s">
        <v>413</v>
      </c>
      <c r="E30" s="122" t="s">
        <v>407</v>
      </c>
      <c r="F30" s="122" t="s">
        <v>414</v>
      </c>
      <c r="G30" s="123"/>
      <c r="H30" s="123"/>
      <c r="I30" s="124">
        <v>21.6</v>
      </c>
      <c r="J30" s="124">
        <v>21.6</v>
      </c>
      <c r="K30" s="123"/>
      <c r="L30" s="118"/>
      <c r="M30" s="123">
        <f t="shared" si="23"/>
        <v>0</v>
      </c>
      <c r="N30" s="123"/>
      <c r="O30" s="123"/>
      <c r="P30" s="123"/>
      <c r="Q30" s="123"/>
      <c r="R30" s="123"/>
      <c r="S30" s="123"/>
    </row>
    <row r="31" spans="1:19" ht="27.75" customHeight="1" x14ac:dyDescent="0.2">
      <c r="A31" s="125"/>
      <c r="B31" s="122" t="s">
        <v>310</v>
      </c>
      <c r="C31" s="122" t="s">
        <v>319</v>
      </c>
      <c r="D31" s="122" t="s">
        <v>413</v>
      </c>
      <c r="E31" s="122" t="s">
        <v>407</v>
      </c>
      <c r="F31" s="122" t="s">
        <v>408</v>
      </c>
      <c r="G31" s="123"/>
      <c r="H31" s="123"/>
      <c r="I31" s="124">
        <v>459.74831999999998</v>
      </c>
      <c r="J31" s="124">
        <v>330.55853000000002</v>
      </c>
      <c r="K31" s="123"/>
      <c r="L31" s="118"/>
      <c r="M31" s="123">
        <f t="shared" si="23"/>
        <v>-129.18978999999996</v>
      </c>
      <c r="N31" s="123"/>
      <c r="O31" s="123"/>
      <c r="P31" s="123"/>
      <c r="Q31" s="123"/>
      <c r="R31" s="123"/>
      <c r="S31" s="123"/>
    </row>
    <row r="32" spans="1:19" ht="25.5" customHeight="1" x14ac:dyDescent="0.2">
      <c r="A32" s="125"/>
      <c r="B32" s="122" t="s">
        <v>310</v>
      </c>
      <c r="C32" s="122" t="s">
        <v>319</v>
      </c>
      <c r="D32" s="122" t="s">
        <v>413</v>
      </c>
      <c r="E32" s="122" t="s">
        <v>407</v>
      </c>
      <c r="F32" s="122" t="s">
        <v>415</v>
      </c>
      <c r="G32" s="123"/>
      <c r="H32" s="123"/>
      <c r="I32" s="124">
        <v>210.07185999999999</v>
      </c>
      <c r="J32" s="124">
        <v>210.07185999999999</v>
      </c>
      <c r="K32" s="123"/>
      <c r="L32" s="118"/>
      <c r="M32" s="123">
        <f t="shared" si="23"/>
        <v>0</v>
      </c>
      <c r="N32" s="123"/>
      <c r="O32" s="123"/>
      <c r="P32" s="123"/>
      <c r="Q32" s="123"/>
      <c r="R32" s="123"/>
      <c r="S32" s="123"/>
    </row>
    <row r="33" spans="1:19" ht="25.5" customHeight="1" x14ac:dyDescent="0.2">
      <c r="A33" s="125"/>
      <c r="B33" s="122" t="s">
        <v>310</v>
      </c>
      <c r="C33" s="122" t="s">
        <v>319</v>
      </c>
      <c r="D33" s="122" t="s">
        <v>413</v>
      </c>
      <c r="E33" s="122" t="s">
        <v>407</v>
      </c>
      <c r="F33" s="122" t="s">
        <v>409</v>
      </c>
      <c r="G33" s="123"/>
      <c r="H33" s="123"/>
      <c r="I33" s="124">
        <v>253.52977000000001</v>
      </c>
      <c r="J33" s="124">
        <v>135.37129999999999</v>
      </c>
      <c r="K33" s="123"/>
      <c r="L33" s="118"/>
      <c r="M33" s="123">
        <f t="shared" si="23"/>
        <v>-118.15847000000002</v>
      </c>
      <c r="N33" s="123"/>
      <c r="O33" s="123"/>
      <c r="P33" s="123"/>
      <c r="Q33" s="123"/>
      <c r="R33" s="123"/>
      <c r="S33" s="123"/>
    </row>
    <row r="34" spans="1:19" ht="19.5" customHeight="1" x14ac:dyDescent="0.2">
      <c r="A34" s="125"/>
      <c r="B34" s="122" t="s">
        <v>310</v>
      </c>
      <c r="C34" s="122" t="s">
        <v>319</v>
      </c>
      <c r="D34" s="122" t="s">
        <v>413</v>
      </c>
      <c r="E34" s="122" t="s">
        <v>403</v>
      </c>
      <c r="F34" s="122" t="s">
        <v>404</v>
      </c>
      <c r="G34" s="123"/>
      <c r="H34" s="123"/>
      <c r="I34" s="124">
        <v>3532.3963899999999</v>
      </c>
      <c r="J34" s="124">
        <v>3532.3963899999999</v>
      </c>
      <c r="K34" s="123"/>
      <c r="L34" s="118"/>
      <c r="M34" s="123">
        <f t="shared" si="23"/>
        <v>0</v>
      </c>
      <c r="N34" s="123"/>
      <c r="O34" s="123"/>
      <c r="P34" s="123"/>
      <c r="Q34" s="123"/>
      <c r="R34" s="123"/>
      <c r="S34" s="123"/>
    </row>
    <row r="35" spans="1:19" ht="39.75" customHeight="1" x14ac:dyDescent="0.2">
      <c r="A35" s="125" t="s">
        <v>416</v>
      </c>
      <c r="B35" s="122" t="s">
        <v>310</v>
      </c>
      <c r="C35" s="122" t="s">
        <v>319</v>
      </c>
      <c r="D35" s="122" t="s">
        <v>413</v>
      </c>
      <c r="E35" s="122" t="s">
        <v>417</v>
      </c>
      <c r="F35" s="122"/>
      <c r="G35" s="123">
        <f>G36</f>
        <v>980</v>
      </c>
      <c r="H35" s="123">
        <f>H36</f>
        <v>1056</v>
      </c>
      <c r="I35" s="124">
        <f>I36</f>
        <v>1055.9725400000002</v>
      </c>
      <c r="J35" s="124">
        <f>J36</f>
        <v>1010.6294300000001</v>
      </c>
      <c r="K35" s="123">
        <f>I35-H35</f>
        <v>-2.7459999999791762E-2</v>
      </c>
      <c r="L35" s="118">
        <f t="shared" si="3"/>
        <v>99.997399621212139</v>
      </c>
      <c r="M35" s="123">
        <f>J35-I35</f>
        <v>-45.343110000000138</v>
      </c>
      <c r="N35" s="123">
        <f>J35/I35*100</f>
        <v>95.706033226962489</v>
      </c>
      <c r="O35" s="123">
        <f>J35/G35*100</f>
        <v>103.12545204081633</v>
      </c>
      <c r="P35" s="123">
        <f>J35/H35*100</f>
        <v>95.703544507575771</v>
      </c>
      <c r="Q35" s="123">
        <f>H35-G35</f>
        <v>76</v>
      </c>
      <c r="R35" s="123">
        <f>H35/G35*100</f>
        <v>107.75510204081633</v>
      </c>
      <c r="S35" s="123">
        <f>J35/$J$329*100</f>
        <v>0.98198866111648775</v>
      </c>
    </row>
    <row r="36" spans="1:19" ht="40.5" customHeight="1" x14ac:dyDescent="0.2">
      <c r="A36" s="125" t="s">
        <v>418</v>
      </c>
      <c r="B36" s="122" t="s">
        <v>310</v>
      </c>
      <c r="C36" s="122" t="s">
        <v>319</v>
      </c>
      <c r="D36" s="122" t="s">
        <v>413</v>
      </c>
      <c r="E36" s="122" t="s">
        <v>419</v>
      </c>
      <c r="F36" s="122"/>
      <c r="G36" s="123">
        <v>980</v>
      </c>
      <c r="H36" s="123">
        <v>1056</v>
      </c>
      <c r="I36" s="124">
        <f>I37+I38+I39+I40+I41+I42+I43</f>
        <v>1055.9725400000002</v>
      </c>
      <c r="J36" s="124">
        <f>J37+J38+J39+J40+J41+J42+J43</f>
        <v>1010.6294300000001</v>
      </c>
      <c r="K36" s="123">
        <f t="shared" ref="K36:K45" si="29">I36-H36</f>
        <v>-2.7459999999791762E-2</v>
      </c>
      <c r="L36" s="118">
        <f t="shared" si="3"/>
        <v>99.997399621212139</v>
      </c>
      <c r="M36" s="123">
        <f t="shared" ref="M36:M45" si="30">J36-I36</f>
        <v>-45.343110000000138</v>
      </c>
      <c r="N36" s="123">
        <f t="shared" ref="N36:N45" si="31">J36/I36*100</f>
        <v>95.706033226962489</v>
      </c>
      <c r="O36" s="123">
        <f t="shared" ref="O36" si="32">J36/G36*100</f>
        <v>103.12545204081633</v>
      </c>
      <c r="P36" s="123">
        <f t="shared" ref="P36:P45" si="33">J36/H36*100</f>
        <v>95.703544507575771</v>
      </c>
      <c r="Q36" s="123">
        <f t="shared" ref="Q36:Q45" si="34">H36-G36</f>
        <v>76</v>
      </c>
      <c r="R36" s="123">
        <f t="shared" ref="R36" si="35">H36/G36*100</f>
        <v>107.75510204081633</v>
      </c>
      <c r="S36" s="123">
        <f>J36/$J$329*100</f>
        <v>0.98198866111648775</v>
      </c>
    </row>
    <row r="37" spans="1:19" ht="21" customHeight="1" x14ac:dyDescent="0.2">
      <c r="A37" s="125"/>
      <c r="B37" s="122" t="s">
        <v>310</v>
      </c>
      <c r="C37" s="122" t="s">
        <v>319</v>
      </c>
      <c r="D37" s="122" t="s">
        <v>413</v>
      </c>
      <c r="E37" s="122" t="s">
        <v>420</v>
      </c>
      <c r="F37" s="122" t="s">
        <v>421</v>
      </c>
      <c r="G37" s="123"/>
      <c r="H37" s="123"/>
      <c r="I37" s="124">
        <v>192.33699999999999</v>
      </c>
      <c r="J37" s="124">
        <v>175.24270999999999</v>
      </c>
      <c r="K37" s="123"/>
      <c r="L37" s="118"/>
      <c r="M37" s="123">
        <f t="shared" si="30"/>
        <v>-17.094290000000001</v>
      </c>
      <c r="N37" s="123"/>
      <c r="O37" s="123"/>
      <c r="P37" s="123"/>
      <c r="Q37" s="123"/>
      <c r="R37" s="123"/>
      <c r="S37" s="123"/>
    </row>
    <row r="38" spans="1:19" ht="21.75" customHeight="1" x14ac:dyDescent="0.2">
      <c r="A38" s="125"/>
      <c r="B38" s="122" t="s">
        <v>310</v>
      </c>
      <c r="C38" s="122" t="s">
        <v>319</v>
      </c>
      <c r="D38" s="122" t="s">
        <v>413</v>
      </c>
      <c r="E38" s="122" t="s">
        <v>420</v>
      </c>
      <c r="F38" s="122" t="s">
        <v>422</v>
      </c>
      <c r="G38" s="123"/>
      <c r="H38" s="123"/>
      <c r="I38" s="124">
        <v>251.27033</v>
      </c>
      <c r="J38" s="124">
        <v>251.27036000000001</v>
      </c>
      <c r="K38" s="123"/>
      <c r="L38" s="118"/>
      <c r="M38" s="123">
        <f t="shared" si="30"/>
        <v>3.000000000952241E-5</v>
      </c>
      <c r="N38" s="123"/>
      <c r="O38" s="123"/>
      <c r="P38" s="123"/>
      <c r="Q38" s="123"/>
      <c r="R38" s="123"/>
      <c r="S38" s="123"/>
    </row>
    <row r="39" spans="1:19" ht="22.5" customHeight="1" x14ac:dyDescent="0.2">
      <c r="A39" s="125"/>
      <c r="B39" s="122" t="s">
        <v>310</v>
      </c>
      <c r="C39" s="122" t="s">
        <v>319</v>
      </c>
      <c r="D39" s="122" t="s">
        <v>413</v>
      </c>
      <c r="E39" s="122" t="s">
        <v>420</v>
      </c>
      <c r="F39" s="122" t="s">
        <v>415</v>
      </c>
      <c r="G39" s="123"/>
      <c r="H39" s="123"/>
      <c r="I39" s="124">
        <v>110.78536</v>
      </c>
      <c r="J39" s="124">
        <v>108.28536</v>
      </c>
      <c r="K39" s="123"/>
      <c r="L39" s="118"/>
      <c r="M39" s="123">
        <f t="shared" si="30"/>
        <v>-2.5</v>
      </c>
      <c r="N39" s="123"/>
      <c r="O39" s="123"/>
      <c r="P39" s="123"/>
      <c r="Q39" s="123"/>
      <c r="R39" s="123"/>
      <c r="S39" s="123"/>
    </row>
    <row r="40" spans="1:19" ht="25.5" customHeight="1" x14ac:dyDescent="0.2">
      <c r="A40" s="125"/>
      <c r="B40" s="122" t="s">
        <v>310</v>
      </c>
      <c r="C40" s="122" t="s">
        <v>319</v>
      </c>
      <c r="D40" s="122" t="s">
        <v>413</v>
      </c>
      <c r="E40" s="122" t="s">
        <v>420</v>
      </c>
      <c r="F40" s="122" t="s">
        <v>423</v>
      </c>
      <c r="G40" s="123"/>
      <c r="H40" s="123"/>
      <c r="I40" s="124">
        <v>80.336299999999994</v>
      </c>
      <c r="J40" s="124">
        <v>80.336299999999994</v>
      </c>
      <c r="K40" s="123"/>
      <c r="L40" s="118"/>
      <c r="M40" s="123">
        <f t="shared" si="30"/>
        <v>0</v>
      </c>
      <c r="N40" s="123"/>
      <c r="O40" s="123"/>
      <c r="P40" s="123"/>
      <c r="Q40" s="123"/>
      <c r="R40" s="123"/>
      <c r="S40" s="123"/>
    </row>
    <row r="41" spans="1:19" ht="22.5" customHeight="1" x14ac:dyDescent="0.2">
      <c r="A41" s="125"/>
      <c r="B41" s="122" t="s">
        <v>310</v>
      </c>
      <c r="C41" s="122" t="s">
        <v>319</v>
      </c>
      <c r="D41" s="122" t="s">
        <v>413</v>
      </c>
      <c r="E41" s="122" t="s">
        <v>420</v>
      </c>
      <c r="F41" s="122" t="s">
        <v>424</v>
      </c>
      <c r="G41" s="123"/>
      <c r="H41" s="123"/>
      <c r="I41" s="124">
        <v>55.98</v>
      </c>
      <c r="J41" s="124">
        <v>55.98</v>
      </c>
      <c r="K41" s="123"/>
      <c r="L41" s="118"/>
      <c r="M41" s="123">
        <f t="shared" si="30"/>
        <v>0</v>
      </c>
      <c r="N41" s="123"/>
      <c r="O41" s="123"/>
      <c r="P41" s="123"/>
      <c r="Q41" s="123"/>
      <c r="R41" s="123"/>
      <c r="S41" s="123"/>
    </row>
    <row r="42" spans="1:19" ht="24" customHeight="1" x14ac:dyDescent="0.2">
      <c r="A42" s="125"/>
      <c r="B42" s="122" t="s">
        <v>310</v>
      </c>
      <c r="C42" s="122" t="s">
        <v>319</v>
      </c>
      <c r="D42" s="122" t="s">
        <v>413</v>
      </c>
      <c r="E42" s="122" t="s">
        <v>420</v>
      </c>
      <c r="F42" s="122" t="s">
        <v>425</v>
      </c>
      <c r="G42" s="123"/>
      <c r="H42" s="123"/>
      <c r="I42" s="124">
        <v>155</v>
      </c>
      <c r="J42" s="124">
        <v>129.25115</v>
      </c>
      <c r="K42" s="123"/>
      <c r="L42" s="118"/>
      <c r="M42" s="123">
        <f t="shared" si="30"/>
        <v>-25.748850000000004</v>
      </c>
      <c r="N42" s="123"/>
      <c r="O42" s="123"/>
      <c r="P42" s="123"/>
      <c r="Q42" s="123"/>
      <c r="R42" s="123"/>
      <c r="S42" s="123"/>
    </row>
    <row r="43" spans="1:19" ht="26.25" customHeight="1" x14ac:dyDescent="0.2">
      <c r="A43" s="125"/>
      <c r="B43" s="122" t="s">
        <v>310</v>
      </c>
      <c r="C43" s="122" t="s">
        <v>319</v>
      </c>
      <c r="D43" s="122" t="s">
        <v>413</v>
      </c>
      <c r="E43" s="122" t="s">
        <v>420</v>
      </c>
      <c r="F43" s="122" t="s">
        <v>426</v>
      </c>
      <c r="G43" s="123"/>
      <c r="H43" s="123"/>
      <c r="I43" s="124">
        <v>210.26355000000001</v>
      </c>
      <c r="J43" s="124">
        <v>210.26355000000001</v>
      </c>
      <c r="K43" s="123"/>
      <c r="L43" s="118"/>
      <c r="M43" s="123">
        <f t="shared" si="30"/>
        <v>0</v>
      </c>
      <c r="N43" s="123"/>
      <c r="O43" s="123"/>
      <c r="P43" s="123"/>
      <c r="Q43" s="123"/>
      <c r="R43" s="123"/>
      <c r="S43" s="123"/>
    </row>
    <row r="44" spans="1:19" ht="59.25" customHeight="1" x14ac:dyDescent="0.2">
      <c r="A44" s="125" t="s">
        <v>427</v>
      </c>
      <c r="B44" s="122" t="s">
        <v>310</v>
      </c>
      <c r="C44" s="122" t="s">
        <v>319</v>
      </c>
      <c r="D44" s="122" t="s">
        <v>428</v>
      </c>
      <c r="E44" s="122"/>
      <c r="F44" s="122"/>
      <c r="G44" s="123">
        <f>SUM(G45)</f>
        <v>0</v>
      </c>
      <c r="H44" s="123">
        <f>SUM(H45)</f>
        <v>879.6</v>
      </c>
      <c r="I44" s="124">
        <f>SUM(I45)</f>
        <v>879.62829999999997</v>
      </c>
      <c r="J44" s="124">
        <f>SUM(J45)</f>
        <v>692.89300000000003</v>
      </c>
      <c r="K44" s="123">
        <f t="shared" si="29"/>
        <v>2.8299999999944703E-2</v>
      </c>
      <c r="L44" s="118">
        <f t="shared" si="3"/>
        <v>100.0032173715325</v>
      </c>
      <c r="M44" s="123">
        <f t="shared" si="30"/>
        <v>-186.73529999999994</v>
      </c>
      <c r="N44" s="123">
        <f t="shared" si="31"/>
        <v>78.771112752966232</v>
      </c>
      <c r="O44" s="123"/>
      <c r="P44" s="123">
        <f t="shared" si="33"/>
        <v>78.773647112323786</v>
      </c>
      <c r="Q44" s="123">
        <f t="shared" si="34"/>
        <v>879.6</v>
      </c>
      <c r="R44" s="123"/>
      <c r="S44" s="123">
        <f>J44/$J$329*100</f>
        <v>0.6732567340404747</v>
      </c>
    </row>
    <row r="45" spans="1:19" ht="33.75" x14ac:dyDescent="0.2">
      <c r="A45" s="125" t="s">
        <v>416</v>
      </c>
      <c r="B45" s="122" t="s">
        <v>310</v>
      </c>
      <c r="C45" s="122" t="s">
        <v>319</v>
      </c>
      <c r="D45" s="122" t="s">
        <v>428</v>
      </c>
      <c r="E45" s="122" t="s">
        <v>417</v>
      </c>
      <c r="F45" s="122"/>
      <c r="G45" s="123">
        <f>G46</f>
        <v>0</v>
      </c>
      <c r="H45" s="123">
        <f>H46</f>
        <v>879.6</v>
      </c>
      <c r="I45" s="124">
        <f>I46</f>
        <v>879.62829999999997</v>
      </c>
      <c r="J45" s="124">
        <f>J46</f>
        <v>692.89300000000003</v>
      </c>
      <c r="K45" s="123">
        <f t="shared" si="29"/>
        <v>2.8299999999944703E-2</v>
      </c>
      <c r="L45" s="118">
        <f t="shared" si="3"/>
        <v>100.0032173715325</v>
      </c>
      <c r="M45" s="123">
        <f t="shared" si="30"/>
        <v>-186.73529999999994</v>
      </c>
      <c r="N45" s="123">
        <f t="shared" si="31"/>
        <v>78.771112752966232</v>
      </c>
      <c r="O45" s="123"/>
      <c r="P45" s="123">
        <f t="shared" si="33"/>
        <v>78.773647112323786</v>
      </c>
      <c r="Q45" s="123">
        <f t="shared" si="34"/>
        <v>879.6</v>
      </c>
      <c r="R45" s="123"/>
      <c r="S45" s="123">
        <f>J45/$J$329*100</f>
        <v>0.6732567340404747</v>
      </c>
    </row>
    <row r="46" spans="1:19" ht="33.75" x14ac:dyDescent="0.2">
      <c r="A46" s="125" t="s">
        <v>418</v>
      </c>
      <c r="B46" s="122" t="s">
        <v>310</v>
      </c>
      <c r="C46" s="122" t="s">
        <v>319</v>
      </c>
      <c r="D46" s="122" t="s">
        <v>428</v>
      </c>
      <c r="E46" s="122" t="s">
        <v>419</v>
      </c>
      <c r="F46" s="122"/>
      <c r="G46" s="123"/>
      <c r="H46" s="123">
        <v>879.6</v>
      </c>
      <c r="I46" s="124">
        <f>I47+I48</f>
        <v>879.62829999999997</v>
      </c>
      <c r="J46" s="124">
        <f>J47+J48</f>
        <v>692.89300000000003</v>
      </c>
      <c r="K46" s="123">
        <f>I46-H46</f>
        <v>2.8299999999944703E-2</v>
      </c>
      <c r="L46" s="118">
        <f t="shared" si="3"/>
        <v>100.0032173715325</v>
      </c>
      <c r="M46" s="123">
        <f>J46-I46</f>
        <v>-186.73529999999994</v>
      </c>
      <c r="N46" s="123">
        <f>J46/I46*100</f>
        <v>78.771112752966232</v>
      </c>
      <c r="O46" s="123"/>
      <c r="P46" s="123">
        <f>J46/H46*100</f>
        <v>78.773647112323786</v>
      </c>
      <c r="Q46" s="123">
        <f>H46-G46</f>
        <v>879.6</v>
      </c>
      <c r="R46" s="123"/>
      <c r="S46" s="123">
        <f>J46/$J$329*100</f>
        <v>0.6732567340404747</v>
      </c>
    </row>
    <row r="47" spans="1:19" ht="21.75" customHeight="1" x14ac:dyDescent="0.2">
      <c r="A47" s="125"/>
      <c r="B47" s="122" t="s">
        <v>310</v>
      </c>
      <c r="C47" s="122" t="s">
        <v>319</v>
      </c>
      <c r="D47" s="122" t="s">
        <v>428</v>
      </c>
      <c r="E47" s="122" t="s">
        <v>420</v>
      </c>
      <c r="F47" s="122" t="s">
        <v>421</v>
      </c>
      <c r="G47" s="123"/>
      <c r="H47" s="123"/>
      <c r="I47" s="124">
        <v>228.4</v>
      </c>
      <c r="J47" s="124">
        <v>225.6</v>
      </c>
      <c r="K47" s="123"/>
      <c r="L47" s="118"/>
      <c r="M47" s="123"/>
      <c r="N47" s="123"/>
      <c r="O47" s="123"/>
      <c r="P47" s="123"/>
      <c r="Q47" s="123"/>
      <c r="R47" s="123"/>
      <c r="S47" s="123"/>
    </row>
    <row r="48" spans="1:19" ht="21" customHeight="1" x14ac:dyDescent="0.2">
      <c r="A48" s="125"/>
      <c r="B48" s="122" t="s">
        <v>310</v>
      </c>
      <c r="C48" s="122" t="s">
        <v>319</v>
      </c>
      <c r="D48" s="122" t="s">
        <v>428</v>
      </c>
      <c r="E48" s="122" t="s">
        <v>420</v>
      </c>
      <c r="F48" s="122" t="s">
        <v>415</v>
      </c>
      <c r="G48" s="123"/>
      <c r="H48" s="123"/>
      <c r="I48" s="124">
        <v>651.22829999999999</v>
      </c>
      <c r="J48" s="124">
        <v>467.29300000000001</v>
      </c>
      <c r="K48" s="123"/>
      <c r="L48" s="118"/>
      <c r="M48" s="123"/>
      <c r="N48" s="123"/>
      <c r="O48" s="123"/>
      <c r="P48" s="123"/>
      <c r="Q48" s="123"/>
      <c r="R48" s="123"/>
      <c r="S48" s="123"/>
    </row>
    <row r="49" spans="1:19" s="119" customFormat="1" ht="58.5" customHeight="1" x14ac:dyDescent="0.2">
      <c r="A49" s="130" t="s">
        <v>429</v>
      </c>
      <c r="B49" s="115" t="s">
        <v>310</v>
      </c>
      <c r="C49" s="115" t="s">
        <v>322</v>
      </c>
      <c r="D49" s="115"/>
      <c r="E49" s="115"/>
      <c r="F49" s="115"/>
      <c r="G49" s="116">
        <f t="shared" ref="G49:J53" si="36">SUM(G50)</f>
        <v>0</v>
      </c>
      <c r="H49" s="116">
        <f t="shared" si="36"/>
        <v>56.2</v>
      </c>
      <c r="I49" s="117">
        <f t="shared" si="36"/>
        <v>56.238799999999998</v>
      </c>
      <c r="J49" s="117">
        <f t="shared" si="36"/>
        <v>56.238799999999998</v>
      </c>
      <c r="K49" s="116">
        <f t="shared" ref="K49:K53" si="37">I49-H49</f>
        <v>3.8799999999994839E-2</v>
      </c>
      <c r="L49" s="118">
        <f t="shared" si="3"/>
        <v>100.06903914590745</v>
      </c>
      <c r="M49" s="116">
        <f t="shared" ref="M49:M53" si="38">J49-I49</f>
        <v>0</v>
      </c>
      <c r="N49" s="116">
        <f t="shared" ref="N49:N53" si="39">J49/I49*100</f>
        <v>100</v>
      </c>
      <c r="O49" s="116"/>
      <c r="P49" s="116">
        <f t="shared" ref="P49:P53" si="40">J49/H49*100</f>
        <v>100.06903914590745</v>
      </c>
      <c r="Q49" s="116">
        <f t="shared" ref="Q49:Q53" si="41">H49-G49</f>
        <v>56.2</v>
      </c>
      <c r="R49" s="116"/>
      <c r="S49" s="116">
        <f t="shared" ref="S49:S72" si="42">J49/$J$329*100</f>
        <v>5.4645018515637252E-2</v>
      </c>
    </row>
    <row r="50" spans="1:19" ht="20.25" customHeight="1" x14ac:dyDescent="0.2">
      <c r="A50" s="131" t="s">
        <v>430</v>
      </c>
      <c r="B50" s="132">
        <v>1</v>
      </c>
      <c r="C50" s="133">
        <v>6</v>
      </c>
      <c r="D50" s="134">
        <v>4110000000</v>
      </c>
      <c r="E50" s="135"/>
      <c r="F50" s="135"/>
      <c r="G50" s="127">
        <f t="shared" si="36"/>
        <v>0</v>
      </c>
      <c r="H50" s="127">
        <f t="shared" si="36"/>
        <v>56.2</v>
      </c>
      <c r="I50" s="124">
        <f t="shared" si="36"/>
        <v>56.238799999999998</v>
      </c>
      <c r="J50" s="124">
        <f t="shared" si="36"/>
        <v>56.238799999999998</v>
      </c>
      <c r="K50" s="123">
        <f t="shared" si="37"/>
        <v>3.8799999999994839E-2</v>
      </c>
      <c r="L50" s="118">
        <f t="shared" si="3"/>
        <v>100.06903914590745</v>
      </c>
      <c r="M50" s="123">
        <f t="shared" si="38"/>
        <v>0</v>
      </c>
      <c r="N50" s="123">
        <f t="shared" si="39"/>
        <v>100</v>
      </c>
      <c r="O50" s="123"/>
      <c r="P50" s="123">
        <f t="shared" si="40"/>
        <v>100.06903914590745</v>
      </c>
      <c r="Q50" s="123">
        <f t="shared" si="41"/>
        <v>56.2</v>
      </c>
      <c r="R50" s="123"/>
      <c r="S50" s="123">
        <f t="shared" si="42"/>
        <v>5.4645018515637252E-2</v>
      </c>
    </row>
    <row r="51" spans="1:19" ht="105" x14ac:dyDescent="0.2">
      <c r="A51" s="128" t="s">
        <v>431</v>
      </c>
      <c r="B51" s="132">
        <v>1</v>
      </c>
      <c r="C51" s="133">
        <v>6</v>
      </c>
      <c r="D51" s="134">
        <v>4110080000</v>
      </c>
      <c r="E51" s="135"/>
      <c r="F51" s="135"/>
      <c r="G51" s="127">
        <f t="shared" si="36"/>
        <v>0</v>
      </c>
      <c r="H51" s="127">
        <f t="shared" si="36"/>
        <v>56.2</v>
      </c>
      <c r="I51" s="124">
        <f t="shared" si="36"/>
        <v>56.238799999999998</v>
      </c>
      <c r="J51" s="124">
        <f t="shared" si="36"/>
        <v>56.238799999999998</v>
      </c>
      <c r="K51" s="123">
        <f t="shared" si="37"/>
        <v>3.8799999999994839E-2</v>
      </c>
      <c r="L51" s="118">
        <f t="shared" si="3"/>
        <v>100.06903914590745</v>
      </c>
      <c r="M51" s="123">
        <f t="shared" si="38"/>
        <v>0</v>
      </c>
      <c r="N51" s="123">
        <f t="shared" si="39"/>
        <v>100</v>
      </c>
      <c r="O51" s="123"/>
      <c r="P51" s="123">
        <f t="shared" si="40"/>
        <v>100.06903914590745</v>
      </c>
      <c r="Q51" s="123">
        <f t="shared" si="41"/>
        <v>56.2</v>
      </c>
      <c r="R51" s="123"/>
      <c r="S51" s="123">
        <f t="shared" si="42"/>
        <v>5.4645018515637252E-2</v>
      </c>
    </row>
    <row r="52" spans="1:19" ht="62.25" customHeight="1" x14ac:dyDescent="0.2">
      <c r="A52" s="128" t="s">
        <v>432</v>
      </c>
      <c r="B52" s="132">
        <v>1</v>
      </c>
      <c r="C52" s="133">
        <v>6</v>
      </c>
      <c r="D52" s="134">
        <v>4110089020</v>
      </c>
      <c r="E52" s="135"/>
      <c r="F52" s="135"/>
      <c r="G52" s="127">
        <f t="shared" si="36"/>
        <v>0</v>
      </c>
      <c r="H52" s="127">
        <f t="shared" si="36"/>
        <v>56.2</v>
      </c>
      <c r="I52" s="124">
        <f t="shared" si="36"/>
        <v>56.238799999999998</v>
      </c>
      <c r="J52" s="124">
        <f t="shared" si="36"/>
        <v>56.238799999999998</v>
      </c>
      <c r="K52" s="123">
        <f t="shared" si="37"/>
        <v>3.8799999999994839E-2</v>
      </c>
      <c r="L52" s="118">
        <f t="shared" si="3"/>
        <v>100.06903914590745</v>
      </c>
      <c r="M52" s="123">
        <f t="shared" si="38"/>
        <v>0</v>
      </c>
      <c r="N52" s="123">
        <f t="shared" si="39"/>
        <v>100</v>
      </c>
      <c r="O52" s="123"/>
      <c r="P52" s="123">
        <f t="shared" si="40"/>
        <v>100.06903914590745</v>
      </c>
      <c r="Q52" s="123">
        <f t="shared" si="41"/>
        <v>56.2</v>
      </c>
      <c r="R52" s="123"/>
      <c r="S52" s="123">
        <f t="shared" si="42"/>
        <v>5.4645018515637252E-2</v>
      </c>
    </row>
    <row r="53" spans="1:19" ht="21.75" customHeight="1" x14ac:dyDescent="0.2">
      <c r="A53" s="131" t="s">
        <v>433</v>
      </c>
      <c r="B53" s="132">
        <v>1</v>
      </c>
      <c r="C53" s="133">
        <v>6</v>
      </c>
      <c r="D53" s="134">
        <v>4110089020</v>
      </c>
      <c r="E53" s="135">
        <v>500</v>
      </c>
      <c r="F53" s="135"/>
      <c r="G53" s="127">
        <f t="shared" si="36"/>
        <v>0</v>
      </c>
      <c r="H53" s="127">
        <f t="shared" si="36"/>
        <v>56.2</v>
      </c>
      <c r="I53" s="124">
        <f t="shared" si="36"/>
        <v>56.238799999999998</v>
      </c>
      <c r="J53" s="124">
        <f t="shared" si="36"/>
        <v>56.238799999999998</v>
      </c>
      <c r="K53" s="123">
        <f t="shared" si="37"/>
        <v>3.8799999999994839E-2</v>
      </c>
      <c r="L53" s="118">
        <f t="shared" si="3"/>
        <v>100.06903914590745</v>
      </c>
      <c r="M53" s="123">
        <f t="shared" si="38"/>
        <v>0</v>
      </c>
      <c r="N53" s="123">
        <f t="shared" si="39"/>
        <v>100</v>
      </c>
      <c r="O53" s="123"/>
      <c r="P53" s="123">
        <f t="shared" si="40"/>
        <v>100.06903914590745</v>
      </c>
      <c r="Q53" s="123">
        <f t="shared" si="41"/>
        <v>56.2</v>
      </c>
      <c r="R53" s="123"/>
      <c r="S53" s="123">
        <f t="shared" si="42"/>
        <v>5.4645018515637252E-2</v>
      </c>
    </row>
    <row r="54" spans="1:19" ht="21.75" customHeight="1" x14ac:dyDescent="0.2">
      <c r="A54" s="131" t="s">
        <v>434</v>
      </c>
      <c r="B54" s="132">
        <v>1</v>
      </c>
      <c r="C54" s="133">
        <v>6</v>
      </c>
      <c r="D54" s="134">
        <v>4110089020</v>
      </c>
      <c r="E54" s="135">
        <v>540</v>
      </c>
      <c r="F54" s="135">
        <v>251</v>
      </c>
      <c r="G54" s="127"/>
      <c r="H54" s="127">
        <v>56.2</v>
      </c>
      <c r="I54" s="124">
        <v>56.238799999999998</v>
      </c>
      <c r="J54" s="124">
        <v>56.238799999999998</v>
      </c>
      <c r="K54" s="123">
        <f>I54-H54</f>
        <v>3.8799999999994839E-2</v>
      </c>
      <c r="L54" s="118">
        <f t="shared" si="3"/>
        <v>100.06903914590745</v>
      </c>
      <c r="M54" s="123">
        <f>J54-I54</f>
        <v>0</v>
      </c>
      <c r="N54" s="123">
        <f>J54/I54*100</f>
        <v>100</v>
      </c>
      <c r="O54" s="123"/>
      <c r="P54" s="123">
        <f>J54/H54*100</f>
        <v>100.06903914590745</v>
      </c>
      <c r="Q54" s="123">
        <f>H54-G54</f>
        <v>56.2</v>
      </c>
      <c r="R54" s="123"/>
      <c r="S54" s="123">
        <f t="shared" si="42"/>
        <v>5.4645018515637252E-2</v>
      </c>
    </row>
    <row r="55" spans="1:19" s="119" customFormat="1" ht="30" customHeight="1" x14ac:dyDescent="0.2">
      <c r="A55" s="114" t="s">
        <v>323</v>
      </c>
      <c r="B55" s="115" t="s">
        <v>310</v>
      </c>
      <c r="C55" s="115" t="s">
        <v>324</v>
      </c>
      <c r="D55" s="115"/>
      <c r="E55" s="115"/>
      <c r="F55" s="115"/>
      <c r="G55" s="129">
        <f>G56</f>
        <v>1580.3</v>
      </c>
      <c r="H55" s="129">
        <f>H56</f>
        <v>2403.1999999999998</v>
      </c>
      <c r="I55" s="117">
        <f>I56</f>
        <v>2403.15</v>
      </c>
      <c r="J55" s="117">
        <f>J56</f>
        <v>2403.15</v>
      </c>
      <c r="K55" s="116">
        <f t="shared" ref="K55:K57" si="43">I55-H55</f>
        <v>-4.9999999999727152E-2</v>
      </c>
      <c r="L55" s="118">
        <f t="shared" si="3"/>
        <v>99.99791944074569</v>
      </c>
      <c r="M55" s="116">
        <f t="shared" ref="M55:M57" si="44">J55-I55</f>
        <v>0</v>
      </c>
      <c r="N55" s="116">
        <f t="shared" ref="N55:N57" si="45">J55/I55*100</f>
        <v>100</v>
      </c>
      <c r="O55" s="116">
        <f t="shared" ref="O55:O57" si="46">J55/G55*100</f>
        <v>152.06922736189333</v>
      </c>
      <c r="P55" s="116">
        <f t="shared" ref="P55:P57" si="47">J55/H55*100</f>
        <v>99.99791944074569</v>
      </c>
      <c r="Q55" s="116">
        <f t="shared" ref="Q55:Q57" si="48">H55-G55</f>
        <v>822.89999999999986</v>
      </c>
      <c r="R55" s="116">
        <f t="shared" ref="R55:R57" si="49">H55/G55*100</f>
        <v>152.07239131810414</v>
      </c>
      <c r="S55" s="116">
        <f t="shared" si="42"/>
        <v>2.3350458446100144</v>
      </c>
    </row>
    <row r="56" spans="1:19" ht="27" customHeight="1" x14ac:dyDescent="0.2">
      <c r="A56" s="86" t="s">
        <v>390</v>
      </c>
      <c r="B56" s="136">
        <v>1</v>
      </c>
      <c r="C56" s="137">
        <v>7</v>
      </c>
      <c r="D56" s="138">
        <v>4000000000</v>
      </c>
      <c r="E56" s="122"/>
      <c r="F56" s="122"/>
      <c r="G56" s="127">
        <f t="shared" ref="G56:J59" si="50">SUM(G57)</f>
        <v>1580.3</v>
      </c>
      <c r="H56" s="127">
        <f t="shared" si="50"/>
        <v>2403.1999999999998</v>
      </c>
      <c r="I56" s="124">
        <f t="shared" si="50"/>
        <v>2403.15</v>
      </c>
      <c r="J56" s="124">
        <f t="shared" si="50"/>
        <v>2403.15</v>
      </c>
      <c r="K56" s="123">
        <f t="shared" si="43"/>
        <v>-4.9999999999727152E-2</v>
      </c>
      <c r="L56" s="118">
        <f t="shared" si="3"/>
        <v>99.99791944074569</v>
      </c>
      <c r="M56" s="123">
        <f t="shared" si="44"/>
        <v>0</v>
      </c>
      <c r="N56" s="123">
        <f t="shared" si="45"/>
        <v>100</v>
      </c>
      <c r="O56" s="123">
        <f t="shared" si="46"/>
        <v>152.06922736189333</v>
      </c>
      <c r="P56" s="123">
        <f t="shared" si="47"/>
        <v>99.99791944074569</v>
      </c>
      <c r="Q56" s="123">
        <f t="shared" si="48"/>
        <v>822.89999999999986</v>
      </c>
      <c r="R56" s="123">
        <f t="shared" si="49"/>
        <v>152.07239131810414</v>
      </c>
      <c r="S56" s="123">
        <f t="shared" si="42"/>
        <v>2.3350458446100144</v>
      </c>
    </row>
    <row r="57" spans="1:19" ht="51.75" customHeight="1" x14ac:dyDescent="0.2">
      <c r="A57" s="125" t="s">
        <v>392</v>
      </c>
      <c r="B57" s="122" t="s">
        <v>310</v>
      </c>
      <c r="C57" s="122" t="s">
        <v>324</v>
      </c>
      <c r="D57" s="122" t="s">
        <v>393</v>
      </c>
      <c r="E57" s="122"/>
      <c r="F57" s="122"/>
      <c r="G57" s="127">
        <f t="shared" si="50"/>
        <v>1580.3</v>
      </c>
      <c r="H57" s="127">
        <f t="shared" si="50"/>
        <v>2403.1999999999998</v>
      </c>
      <c r="I57" s="124">
        <f t="shared" si="50"/>
        <v>2403.15</v>
      </c>
      <c r="J57" s="124">
        <f t="shared" si="50"/>
        <v>2403.15</v>
      </c>
      <c r="K57" s="123">
        <f t="shared" si="43"/>
        <v>-4.9999999999727152E-2</v>
      </c>
      <c r="L57" s="118">
        <f t="shared" si="3"/>
        <v>99.99791944074569</v>
      </c>
      <c r="M57" s="123">
        <f t="shared" si="44"/>
        <v>0</v>
      </c>
      <c r="N57" s="123">
        <f t="shared" si="45"/>
        <v>100</v>
      </c>
      <c r="O57" s="123">
        <f t="shared" si="46"/>
        <v>152.06922736189333</v>
      </c>
      <c r="P57" s="123">
        <f t="shared" si="47"/>
        <v>99.99791944074569</v>
      </c>
      <c r="Q57" s="123">
        <f t="shared" si="48"/>
        <v>822.89999999999986</v>
      </c>
      <c r="R57" s="123">
        <f t="shared" si="49"/>
        <v>152.07239131810414</v>
      </c>
      <c r="S57" s="123">
        <f t="shared" si="42"/>
        <v>2.3350458446100144</v>
      </c>
    </row>
    <row r="58" spans="1:19" ht="28.5" customHeight="1" x14ac:dyDescent="0.2">
      <c r="A58" s="86" t="s">
        <v>435</v>
      </c>
      <c r="B58" s="136">
        <v>1</v>
      </c>
      <c r="C58" s="137">
        <v>7</v>
      </c>
      <c r="D58" s="138">
        <v>4010002500</v>
      </c>
      <c r="E58" s="139"/>
      <c r="F58" s="139"/>
      <c r="G58" s="127">
        <f t="shared" si="50"/>
        <v>1580.3</v>
      </c>
      <c r="H58" s="127">
        <f t="shared" si="50"/>
        <v>2403.1999999999998</v>
      </c>
      <c r="I58" s="124">
        <f t="shared" si="50"/>
        <v>2403.15</v>
      </c>
      <c r="J58" s="124">
        <f t="shared" si="50"/>
        <v>2403.15</v>
      </c>
      <c r="K58" s="123">
        <f>I58-H58</f>
        <v>-4.9999999999727152E-2</v>
      </c>
      <c r="L58" s="118">
        <f t="shared" si="3"/>
        <v>99.99791944074569</v>
      </c>
      <c r="M58" s="123">
        <f>J58-I58</f>
        <v>0</v>
      </c>
      <c r="N58" s="123">
        <f>J58/I58*100</f>
        <v>100</v>
      </c>
      <c r="O58" s="123">
        <f>J58/G58*100</f>
        <v>152.06922736189333</v>
      </c>
      <c r="P58" s="123">
        <f>J58/H58*100</f>
        <v>99.99791944074569</v>
      </c>
      <c r="Q58" s="123">
        <f>H58-G58</f>
        <v>822.89999999999986</v>
      </c>
      <c r="R58" s="123">
        <f>H58/G58*100</f>
        <v>152.07239131810414</v>
      </c>
      <c r="S58" s="123">
        <f t="shared" si="42"/>
        <v>2.3350458446100144</v>
      </c>
    </row>
    <row r="59" spans="1:19" ht="23.25" customHeight="1" x14ac:dyDescent="0.2">
      <c r="A59" s="86" t="s">
        <v>436</v>
      </c>
      <c r="B59" s="136">
        <v>1</v>
      </c>
      <c r="C59" s="137">
        <v>7</v>
      </c>
      <c r="D59" s="138">
        <v>4010002500</v>
      </c>
      <c r="E59" s="139">
        <v>800</v>
      </c>
      <c r="F59" s="139"/>
      <c r="G59" s="127">
        <f t="shared" si="50"/>
        <v>1580.3</v>
      </c>
      <c r="H59" s="127">
        <f t="shared" si="50"/>
        <v>2403.1999999999998</v>
      </c>
      <c r="I59" s="124">
        <f t="shared" si="50"/>
        <v>2403.15</v>
      </c>
      <c r="J59" s="124">
        <f t="shared" si="50"/>
        <v>2403.15</v>
      </c>
      <c r="K59" s="123">
        <f t="shared" ref="K59:K62" si="51">I59-H59</f>
        <v>-4.9999999999727152E-2</v>
      </c>
      <c r="L59" s="118">
        <f t="shared" si="3"/>
        <v>99.99791944074569</v>
      </c>
      <c r="M59" s="123">
        <f t="shared" ref="M59:M62" si="52">J59-I59</f>
        <v>0</v>
      </c>
      <c r="N59" s="123">
        <f t="shared" ref="N59:N62" si="53">J59/I59*100</f>
        <v>100</v>
      </c>
      <c r="O59" s="123">
        <f t="shared" ref="O59:O62" si="54">J59/G59*100</f>
        <v>152.06922736189333</v>
      </c>
      <c r="P59" s="123">
        <f t="shared" ref="P59:P62" si="55">J59/H59*100</f>
        <v>99.99791944074569</v>
      </c>
      <c r="Q59" s="123">
        <f t="shared" ref="Q59:Q62" si="56">H59-G59</f>
        <v>822.89999999999986</v>
      </c>
      <c r="R59" s="123">
        <f t="shared" ref="R59:R62" si="57">H59/G59*100</f>
        <v>152.07239131810414</v>
      </c>
      <c r="S59" s="123">
        <f t="shared" si="42"/>
        <v>2.3350458446100144</v>
      </c>
    </row>
    <row r="60" spans="1:19" ht="22.5" customHeight="1" x14ac:dyDescent="0.2">
      <c r="A60" s="86" t="s">
        <v>437</v>
      </c>
      <c r="B60" s="136">
        <v>1</v>
      </c>
      <c r="C60" s="137">
        <v>7</v>
      </c>
      <c r="D60" s="138">
        <v>4010002500</v>
      </c>
      <c r="E60" s="139">
        <v>880</v>
      </c>
      <c r="F60" s="139">
        <v>297</v>
      </c>
      <c r="G60" s="127">
        <v>1580.3</v>
      </c>
      <c r="H60" s="127">
        <v>2403.1999999999998</v>
      </c>
      <c r="I60" s="124">
        <v>2403.15</v>
      </c>
      <c r="J60" s="124">
        <v>2403.15</v>
      </c>
      <c r="K60" s="123">
        <f t="shared" si="51"/>
        <v>-4.9999999999727152E-2</v>
      </c>
      <c r="L60" s="118">
        <f t="shared" si="3"/>
        <v>99.99791944074569</v>
      </c>
      <c r="M60" s="123">
        <f t="shared" si="52"/>
        <v>0</v>
      </c>
      <c r="N60" s="123">
        <f t="shared" si="53"/>
        <v>100</v>
      </c>
      <c r="O60" s="123">
        <f t="shared" si="54"/>
        <v>152.06922736189333</v>
      </c>
      <c r="P60" s="123">
        <f t="shared" si="55"/>
        <v>99.99791944074569</v>
      </c>
      <c r="Q60" s="123">
        <f t="shared" si="56"/>
        <v>822.89999999999986</v>
      </c>
      <c r="R60" s="123">
        <f t="shared" si="57"/>
        <v>152.07239131810414</v>
      </c>
      <c r="S60" s="123">
        <f t="shared" si="42"/>
        <v>2.3350458446100144</v>
      </c>
    </row>
    <row r="61" spans="1:19" s="119" customFormat="1" ht="21" customHeight="1" x14ac:dyDescent="0.2">
      <c r="A61" s="120" t="s">
        <v>326</v>
      </c>
      <c r="B61" s="115" t="s">
        <v>310</v>
      </c>
      <c r="C61" s="115" t="s">
        <v>327</v>
      </c>
      <c r="D61" s="115"/>
      <c r="E61" s="115"/>
      <c r="F61" s="115"/>
      <c r="G61" s="116">
        <f t="shared" ref="G61:J65" si="58">G62</f>
        <v>140.5</v>
      </c>
      <c r="H61" s="116">
        <f t="shared" si="58"/>
        <v>140.5</v>
      </c>
      <c r="I61" s="117">
        <f t="shared" si="58"/>
        <v>140.5</v>
      </c>
      <c r="J61" s="117">
        <f t="shared" si="58"/>
        <v>0</v>
      </c>
      <c r="K61" s="116">
        <f t="shared" si="51"/>
        <v>0</v>
      </c>
      <c r="L61" s="118">
        <f t="shared" si="3"/>
        <v>100</v>
      </c>
      <c r="M61" s="116">
        <f t="shared" si="52"/>
        <v>-140.5</v>
      </c>
      <c r="N61" s="116">
        <f t="shared" si="53"/>
        <v>0</v>
      </c>
      <c r="O61" s="116">
        <f t="shared" si="54"/>
        <v>0</v>
      </c>
      <c r="P61" s="116">
        <f t="shared" si="55"/>
        <v>0</v>
      </c>
      <c r="Q61" s="116">
        <f t="shared" si="56"/>
        <v>0</v>
      </c>
      <c r="R61" s="116">
        <f t="shared" si="57"/>
        <v>100</v>
      </c>
      <c r="S61" s="116">
        <f t="shared" si="42"/>
        <v>0</v>
      </c>
    </row>
    <row r="62" spans="1:19" ht="30" customHeight="1" x14ac:dyDescent="0.2">
      <c r="A62" s="121" t="s">
        <v>390</v>
      </c>
      <c r="B62" s="122" t="s">
        <v>310</v>
      </c>
      <c r="C62" s="122" t="s">
        <v>327</v>
      </c>
      <c r="D62" s="122" t="s">
        <v>391</v>
      </c>
      <c r="E62" s="122"/>
      <c r="F62" s="122"/>
      <c r="G62" s="123">
        <f t="shared" si="58"/>
        <v>140.5</v>
      </c>
      <c r="H62" s="123">
        <f t="shared" si="58"/>
        <v>140.5</v>
      </c>
      <c r="I62" s="124">
        <f t="shared" si="58"/>
        <v>140.5</v>
      </c>
      <c r="J62" s="124">
        <f t="shared" si="58"/>
        <v>0</v>
      </c>
      <c r="K62" s="123">
        <f t="shared" si="51"/>
        <v>0</v>
      </c>
      <c r="L62" s="118">
        <f t="shared" si="3"/>
        <v>100</v>
      </c>
      <c r="M62" s="123">
        <f t="shared" si="52"/>
        <v>-140.5</v>
      </c>
      <c r="N62" s="123">
        <f t="shared" si="53"/>
        <v>0</v>
      </c>
      <c r="O62" s="123">
        <f t="shared" si="54"/>
        <v>0</v>
      </c>
      <c r="P62" s="123">
        <f t="shared" si="55"/>
        <v>0</v>
      </c>
      <c r="Q62" s="123">
        <f t="shared" si="56"/>
        <v>0</v>
      </c>
      <c r="R62" s="123">
        <f t="shared" si="57"/>
        <v>100</v>
      </c>
      <c r="S62" s="123">
        <f t="shared" si="42"/>
        <v>0</v>
      </c>
    </row>
    <row r="63" spans="1:19" ht="56.25" customHeight="1" x14ac:dyDescent="0.2">
      <c r="A63" s="140" t="s">
        <v>438</v>
      </c>
      <c r="B63" s="122" t="s">
        <v>310</v>
      </c>
      <c r="C63" s="122" t="s">
        <v>327</v>
      </c>
      <c r="D63" s="122" t="s">
        <v>439</v>
      </c>
      <c r="E63" s="122"/>
      <c r="F63" s="122"/>
      <c r="G63" s="123">
        <f t="shared" si="58"/>
        <v>140.5</v>
      </c>
      <c r="H63" s="123">
        <f t="shared" si="58"/>
        <v>140.5</v>
      </c>
      <c r="I63" s="124">
        <f t="shared" si="58"/>
        <v>140.5</v>
      </c>
      <c r="J63" s="124">
        <f t="shared" si="58"/>
        <v>0</v>
      </c>
      <c r="K63" s="123">
        <f>I63-H63</f>
        <v>0</v>
      </c>
      <c r="L63" s="118">
        <f t="shared" si="3"/>
        <v>100</v>
      </c>
      <c r="M63" s="123">
        <f>J63-I63</f>
        <v>-140.5</v>
      </c>
      <c r="N63" s="123">
        <f>J63/I63*100</f>
        <v>0</v>
      </c>
      <c r="O63" s="123">
        <f>J63/G63*100</f>
        <v>0</v>
      </c>
      <c r="P63" s="123">
        <f>J63/H63*100</f>
        <v>0</v>
      </c>
      <c r="Q63" s="123">
        <f>H63-G63</f>
        <v>0</v>
      </c>
      <c r="R63" s="123">
        <f>H63/G63*100</f>
        <v>100</v>
      </c>
      <c r="S63" s="123">
        <f t="shared" si="42"/>
        <v>0</v>
      </c>
    </row>
    <row r="64" spans="1:19" ht="30.75" customHeight="1" x14ac:dyDescent="0.2">
      <c r="A64" s="125" t="s">
        <v>440</v>
      </c>
      <c r="B64" s="122" t="s">
        <v>310</v>
      </c>
      <c r="C64" s="122" t="s">
        <v>327</v>
      </c>
      <c r="D64" s="141">
        <v>4080020210</v>
      </c>
      <c r="E64" s="122"/>
      <c r="F64" s="122"/>
      <c r="G64" s="123">
        <f t="shared" si="58"/>
        <v>140.5</v>
      </c>
      <c r="H64" s="123">
        <f t="shared" si="58"/>
        <v>140.5</v>
      </c>
      <c r="I64" s="124">
        <f t="shared" si="58"/>
        <v>140.5</v>
      </c>
      <c r="J64" s="124">
        <f t="shared" si="58"/>
        <v>0</v>
      </c>
      <c r="K64" s="123">
        <f t="shared" ref="K64:K68" si="59">I64-H64</f>
        <v>0</v>
      </c>
      <c r="L64" s="118">
        <f t="shared" si="3"/>
        <v>100</v>
      </c>
      <c r="M64" s="123">
        <f t="shared" ref="M64:M68" si="60">J64-I64</f>
        <v>-140.5</v>
      </c>
      <c r="N64" s="123">
        <f t="shared" ref="N64:N68" si="61">J64/I64*100</f>
        <v>0</v>
      </c>
      <c r="O64" s="123">
        <f t="shared" ref="O64:O68" si="62">J64/G64*100</f>
        <v>0</v>
      </c>
      <c r="P64" s="123">
        <f t="shared" ref="P64:P68" si="63">J64/H64*100</f>
        <v>0</v>
      </c>
      <c r="Q64" s="123">
        <f t="shared" ref="Q64:Q68" si="64">H64-G64</f>
        <v>0</v>
      </c>
      <c r="R64" s="123">
        <f t="shared" ref="R64:R68" si="65">H64/G64*100</f>
        <v>100</v>
      </c>
      <c r="S64" s="123">
        <f t="shared" si="42"/>
        <v>0</v>
      </c>
    </row>
    <row r="65" spans="1:19" ht="19.5" customHeight="1" x14ac:dyDescent="0.2">
      <c r="A65" s="142" t="s">
        <v>436</v>
      </c>
      <c r="B65" s="122" t="s">
        <v>310</v>
      </c>
      <c r="C65" s="122" t="s">
        <v>327</v>
      </c>
      <c r="D65" s="141">
        <v>4080020210</v>
      </c>
      <c r="E65" s="122" t="s">
        <v>441</v>
      </c>
      <c r="F65" s="122"/>
      <c r="G65" s="123">
        <f t="shared" si="58"/>
        <v>140.5</v>
      </c>
      <c r="H65" s="123">
        <f t="shared" si="58"/>
        <v>140.5</v>
      </c>
      <c r="I65" s="124">
        <f t="shared" si="58"/>
        <v>140.5</v>
      </c>
      <c r="J65" s="124">
        <f t="shared" si="58"/>
        <v>0</v>
      </c>
      <c r="K65" s="123">
        <f t="shared" si="59"/>
        <v>0</v>
      </c>
      <c r="L65" s="118">
        <f t="shared" si="3"/>
        <v>100</v>
      </c>
      <c r="M65" s="123">
        <f t="shared" si="60"/>
        <v>-140.5</v>
      </c>
      <c r="N65" s="123">
        <f t="shared" si="61"/>
        <v>0</v>
      </c>
      <c r="O65" s="123">
        <f t="shared" si="62"/>
        <v>0</v>
      </c>
      <c r="P65" s="123">
        <f t="shared" si="63"/>
        <v>0</v>
      </c>
      <c r="Q65" s="123">
        <f t="shared" si="64"/>
        <v>0</v>
      </c>
      <c r="R65" s="123">
        <f t="shared" si="65"/>
        <v>100</v>
      </c>
      <c r="S65" s="123">
        <f t="shared" si="42"/>
        <v>0</v>
      </c>
    </row>
    <row r="66" spans="1:19" ht="20.25" customHeight="1" x14ac:dyDescent="0.2">
      <c r="A66" s="142" t="s">
        <v>442</v>
      </c>
      <c r="B66" s="122" t="s">
        <v>310</v>
      </c>
      <c r="C66" s="122" t="s">
        <v>327</v>
      </c>
      <c r="D66" s="141">
        <v>4080020210</v>
      </c>
      <c r="E66" s="122" t="s">
        <v>443</v>
      </c>
      <c r="F66" s="122" t="s">
        <v>417</v>
      </c>
      <c r="G66" s="123">
        <v>140.5</v>
      </c>
      <c r="H66" s="123">
        <v>140.5</v>
      </c>
      <c r="I66" s="124">
        <v>140.5</v>
      </c>
      <c r="J66" s="124"/>
      <c r="K66" s="123">
        <f t="shared" si="59"/>
        <v>0</v>
      </c>
      <c r="L66" s="118">
        <f t="shared" si="3"/>
        <v>100</v>
      </c>
      <c r="M66" s="123">
        <f t="shared" si="60"/>
        <v>-140.5</v>
      </c>
      <c r="N66" s="123">
        <f t="shared" si="61"/>
        <v>0</v>
      </c>
      <c r="O66" s="123">
        <f t="shared" si="62"/>
        <v>0</v>
      </c>
      <c r="P66" s="123">
        <f t="shared" si="63"/>
        <v>0</v>
      </c>
      <c r="Q66" s="123">
        <f t="shared" si="64"/>
        <v>0</v>
      </c>
      <c r="R66" s="123">
        <f t="shared" si="65"/>
        <v>100</v>
      </c>
      <c r="S66" s="123">
        <f t="shared" si="42"/>
        <v>0</v>
      </c>
    </row>
    <row r="67" spans="1:19" s="119" customFormat="1" ht="31.5" customHeight="1" x14ac:dyDescent="0.2">
      <c r="A67" s="120" t="s">
        <v>328</v>
      </c>
      <c r="B67" s="115" t="s">
        <v>310</v>
      </c>
      <c r="C67" s="115" t="s">
        <v>329</v>
      </c>
      <c r="D67" s="115"/>
      <c r="E67" s="115"/>
      <c r="F67" s="115"/>
      <c r="G67" s="116">
        <f>G68</f>
        <v>2754.7</v>
      </c>
      <c r="H67" s="116">
        <f>H68</f>
        <v>5883.4</v>
      </c>
      <c r="I67" s="117">
        <f>I68</f>
        <v>5883.4141799999998</v>
      </c>
      <c r="J67" s="117">
        <f>J68</f>
        <v>5182.41464</v>
      </c>
      <c r="K67" s="116">
        <f t="shared" si="59"/>
        <v>1.4180000000123982E-2</v>
      </c>
      <c r="L67" s="118">
        <f t="shared" si="3"/>
        <v>100.00024101709897</v>
      </c>
      <c r="M67" s="116">
        <f t="shared" si="60"/>
        <v>-700.9995399999998</v>
      </c>
      <c r="N67" s="116">
        <f t="shared" si="61"/>
        <v>88.085157383905283</v>
      </c>
      <c r="O67" s="116">
        <f t="shared" si="62"/>
        <v>188.12991033506373</v>
      </c>
      <c r="P67" s="116">
        <f t="shared" si="63"/>
        <v>88.085369684196209</v>
      </c>
      <c r="Q67" s="116">
        <f t="shared" si="64"/>
        <v>3128.7</v>
      </c>
      <c r="R67" s="116">
        <f t="shared" si="65"/>
        <v>213.57679602134533</v>
      </c>
      <c r="S67" s="116">
        <f t="shared" si="42"/>
        <v>5.0355474149254533</v>
      </c>
    </row>
    <row r="68" spans="1:19" ht="27" customHeight="1" x14ac:dyDescent="0.2">
      <c r="A68" s="121" t="s">
        <v>390</v>
      </c>
      <c r="B68" s="143" t="s">
        <v>310</v>
      </c>
      <c r="C68" s="143" t="s">
        <v>329</v>
      </c>
      <c r="D68" s="143" t="s">
        <v>391</v>
      </c>
      <c r="E68" s="144" t="s">
        <v>444</v>
      </c>
      <c r="F68" s="144"/>
      <c r="G68" s="145">
        <f>G69+G93</f>
        <v>2754.7</v>
      </c>
      <c r="H68" s="145">
        <f>H69+H93</f>
        <v>5883.4</v>
      </c>
      <c r="I68" s="146">
        <f>I69+I93</f>
        <v>5883.4141799999998</v>
      </c>
      <c r="J68" s="146">
        <f>J69+J93</f>
        <v>5182.41464</v>
      </c>
      <c r="K68" s="123">
        <f t="shared" si="59"/>
        <v>1.4180000000123982E-2</v>
      </c>
      <c r="L68" s="118">
        <f t="shared" si="3"/>
        <v>100.00024101709897</v>
      </c>
      <c r="M68" s="123">
        <f t="shared" si="60"/>
        <v>-700.9995399999998</v>
      </c>
      <c r="N68" s="123">
        <f t="shared" si="61"/>
        <v>88.085157383905283</v>
      </c>
      <c r="O68" s="123">
        <f t="shared" si="62"/>
        <v>188.12991033506373</v>
      </c>
      <c r="P68" s="123">
        <f t="shared" si="63"/>
        <v>88.085369684196209</v>
      </c>
      <c r="Q68" s="123">
        <f t="shared" si="64"/>
        <v>3128.7</v>
      </c>
      <c r="R68" s="123">
        <f t="shared" si="65"/>
        <v>213.57679602134533</v>
      </c>
      <c r="S68" s="123">
        <f t="shared" si="42"/>
        <v>5.0355474149254533</v>
      </c>
    </row>
    <row r="69" spans="1:19" ht="52.5" customHeight="1" x14ac:dyDescent="0.2">
      <c r="A69" s="125" t="s">
        <v>392</v>
      </c>
      <c r="B69" s="122" t="s">
        <v>310</v>
      </c>
      <c r="C69" s="122" t="s">
        <v>329</v>
      </c>
      <c r="D69" s="122" t="s">
        <v>393</v>
      </c>
      <c r="E69" s="147" t="s">
        <v>444</v>
      </c>
      <c r="F69" s="147"/>
      <c r="G69" s="123">
        <f>G70+G77+G80</f>
        <v>2734.7</v>
      </c>
      <c r="H69" s="123">
        <f>H70+H77+H80</f>
        <v>5863.4</v>
      </c>
      <c r="I69" s="124">
        <f>I70+I77+I80</f>
        <v>5863.4141799999998</v>
      </c>
      <c r="J69" s="124">
        <f>J70+J77+J80</f>
        <v>5162.41464</v>
      </c>
      <c r="K69" s="123">
        <f>I69-H69</f>
        <v>1.4180000000123982E-2</v>
      </c>
      <c r="L69" s="118">
        <f t="shared" si="3"/>
        <v>100.00024183920593</v>
      </c>
      <c r="M69" s="123">
        <f>J69-I69</f>
        <v>-700.9995399999998</v>
      </c>
      <c r="N69" s="123">
        <f>J69/I69*100</f>
        <v>88.04451607066926</v>
      </c>
      <c r="O69" s="123">
        <f>J69/G69*100</f>
        <v>188.77444107214686</v>
      </c>
      <c r="P69" s="123">
        <f>J69/H69*100</f>
        <v>88.044728996827786</v>
      </c>
      <c r="Q69" s="123">
        <f>H69-G69</f>
        <v>3128.7</v>
      </c>
      <c r="R69" s="123">
        <f>H69/G69*100</f>
        <v>214.4074304311259</v>
      </c>
      <c r="S69" s="123">
        <f t="shared" si="42"/>
        <v>5.0161142056408892</v>
      </c>
    </row>
    <row r="70" spans="1:19" ht="62.25" customHeight="1" x14ac:dyDescent="0.2">
      <c r="A70" s="125" t="s">
        <v>427</v>
      </c>
      <c r="B70" s="122" t="s">
        <v>310</v>
      </c>
      <c r="C70" s="122" t="s">
        <v>329</v>
      </c>
      <c r="D70" s="122" t="s">
        <v>428</v>
      </c>
      <c r="E70" s="122"/>
      <c r="F70" s="122"/>
      <c r="G70" s="123">
        <f t="shared" ref="G70:J71" si="66">SUM(G71)</f>
        <v>71</v>
      </c>
      <c r="H70" s="123">
        <f t="shared" si="66"/>
        <v>301</v>
      </c>
      <c r="I70" s="124">
        <f t="shared" si="66"/>
        <v>300.99995999999999</v>
      </c>
      <c r="J70" s="124">
        <f t="shared" si="66"/>
        <v>300.99995999999999</v>
      </c>
      <c r="K70" s="123">
        <f t="shared" ref="K70:K133" si="67">I70-H70</f>
        <v>-4.0000000012696546E-5</v>
      </c>
      <c r="L70" s="118">
        <f t="shared" si="3"/>
        <v>99.999986710963455</v>
      </c>
      <c r="M70" s="123">
        <f t="shared" ref="M70:M133" si="68">J70-I70</f>
        <v>0</v>
      </c>
      <c r="N70" s="123">
        <f t="shared" ref="N70:N133" si="69">J70/I70*100</f>
        <v>100</v>
      </c>
      <c r="O70" s="123">
        <f t="shared" ref="O70:O133" si="70">J70/G70*100</f>
        <v>423.9436056338028</v>
      </c>
      <c r="P70" s="123">
        <f t="shared" ref="P70:P133" si="71">J70/H70*100</f>
        <v>99.999986710963455</v>
      </c>
      <c r="Q70" s="123">
        <f t="shared" ref="Q70:Q133" si="72">H70-G70</f>
        <v>230</v>
      </c>
      <c r="R70" s="123">
        <f t="shared" ref="R70:R133" si="73">H70/G70*100</f>
        <v>423.94366197183098</v>
      </c>
      <c r="S70" s="123">
        <f t="shared" si="42"/>
        <v>0.29246976086627158</v>
      </c>
    </row>
    <row r="71" spans="1:19" ht="18.75" customHeight="1" x14ac:dyDescent="0.2">
      <c r="A71" s="125" t="s">
        <v>445</v>
      </c>
      <c r="B71" s="122" t="s">
        <v>310</v>
      </c>
      <c r="C71" s="122" t="s">
        <v>329</v>
      </c>
      <c r="D71" s="122" t="s">
        <v>428</v>
      </c>
      <c r="E71" s="122" t="s">
        <v>441</v>
      </c>
      <c r="F71" s="122"/>
      <c r="G71" s="123">
        <f t="shared" si="66"/>
        <v>71</v>
      </c>
      <c r="H71" s="123">
        <f t="shared" si="66"/>
        <v>301</v>
      </c>
      <c r="I71" s="124">
        <f t="shared" si="66"/>
        <v>300.99995999999999</v>
      </c>
      <c r="J71" s="124">
        <f t="shared" si="66"/>
        <v>300.99995999999999</v>
      </c>
      <c r="K71" s="123">
        <f t="shared" si="67"/>
        <v>-4.0000000012696546E-5</v>
      </c>
      <c r="L71" s="118">
        <f t="shared" si="3"/>
        <v>99.999986710963455</v>
      </c>
      <c r="M71" s="123">
        <f t="shared" si="68"/>
        <v>0</v>
      </c>
      <c r="N71" s="123">
        <f t="shared" si="69"/>
        <v>100</v>
      </c>
      <c r="O71" s="123">
        <f t="shared" si="70"/>
        <v>423.9436056338028</v>
      </c>
      <c r="P71" s="123">
        <f t="shared" si="71"/>
        <v>99.999986710963455</v>
      </c>
      <c r="Q71" s="123">
        <f t="shared" si="72"/>
        <v>230</v>
      </c>
      <c r="R71" s="123">
        <f t="shared" si="73"/>
        <v>423.94366197183098</v>
      </c>
      <c r="S71" s="123">
        <f t="shared" si="42"/>
        <v>0.29246976086627158</v>
      </c>
    </row>
    <row r="72" spans="1:19" ht="28.5" customHeight="1" x14ac:dyDescent="0.2">
      <c r="A72" s="125" t="s">
        <v>446</v>
      </c>
      <c r="B72" s="122" t="s">
        <v>310</v>
      </c>
      <c r="C72" s="122" t="s">
        <v>329</v>
      </c>
      <c r="D72" s="122" t="s">
        <v>428</v>
      </c>
      <c r="E72" s="122" t="s">
        <v>447</v>
      </c>
      <c r="F72" s="122"/>
      <c r="G72" s="123">
        <v>71</v>
      </c>
      <c r="H72" s="123">
        <v>301</v>
      </c>
      <c r="I72" s="124">
        <f>I73+I74+I75+I76</f>
        <v>300.99995999999999</v>
      </c>
      <c r="J72" s="124">
        <f>J73+J74+J75+J76</f>
        <v>300.99995999999999</v>
      </c>
      <c r="K72" s="123">
        <f t="shared" si="67"/>
        <v>-4.0000000012696546E-5</v>
      </c>
      <c r="L72" s="118">
        <f t="shared" si="3"/>
        <v>99.999986710963455</v>
      </c>
      <c r="M72" s="123">
        <f t="shared" si="68"/>
        <v>0</v>
      </c>
      <c r="N72" s="123">
        <f t="shared" si="69"/>
        <v>100</v>
      </c>
      <c r="O72" s="123">
        <f t="shared" si="70"/>
        <v>423.9436056338028</v>
      </c>
      <c r="P72" s="123">
        <f t="shared" si="71"/>
        <v>99.999986710963455</v>
      </c>
      <c r="Q72" s="123">
        <f t="shared" si="72"/>
        <v>230</v>
      </c>
      <c r="R72" s="123">
        <f t="shared" si="73"/>
        <v>423.94366197183098</v>
      </c>
      <c r="S72" s="123">
        <f t="shared" si="42"/>
        <v>0.29246976086627158</v>
      </c>
    </row>
    <row r="73" spans="1:19" ht="18.75" customHeight="1" x14ac:dyDescent="0.2">
      <c r="A73" s="148"/>
      <c r="B73" s="122" t="s">
        <v>310</v>
      </c>
      <c r="C73" s="122" t="s">
        <v>329</v>
      </c>
      <c r="D73" s="122" t="s">
        <v>428</v>
      </c>
      <c r="E73" s="122" t="s">
        <v>448</v>
      </c>
      <c r="F73" s="122" t="s">
        <v>449</v>
      </c>
      <c r="G73" s="123"/>
      <c r="H73" s="123"/>
      <c r="I73" s="124">
        <v>70.999960000000002</v>
      </c>
      <c r="J73" s="124">
        <v>70.999960000000002</v>
      </c>
      <c r="K73" s="123"/>
      <c r="L73" s="118"/>
      <c r="M73" s="123">
        <f t="shared" si="68"/>
        <v>0</v>
      </c>
      <c r="N73" s="123"/>
      <c r="O73" s="123"/>
      <c r="P73" s="123"/>
      <c r="Q73" s="123"/>
      <c r="R73" s="123"/>
      <c r="S73" s="123"/>
    </row>
    <row r="74" spans="1:19" ht="21.75" customHeight="1" x14ac:dyDescent="0.2">
      <c r="A74" s="148"/>
      <c r="B74" s="122" t="s">
        <v>310</v>
      </c>
      <c r="C74" s="122" t="s">
        <v>329</v>
      </c>
      <c r="D74" s="122" t="s">
        <v>428</v>
      </c>
      <c r="E74" s="122" t="s">
        <v>450</v>
      </c>
      <c r="F74" s="122" t="s">
        <v>449</v>
      </c>
      <c r="G74" s="123"/>
      <c r="H74" s="123"/>
      <c r="I74" s="124">
        <v>50</v>
      </c>
      <c r="J74" s="124">
        <v>50</v>
      </c>
      <c r="K74" s="123"/>
      <c r="L74" s="118"/>
      <c r="M74" s="123">
        <f t="shared" si="68"/>
        <v>0</v>
      </c>
      <c r="N74" s="123"/>
      <c r="O74" s="123"/>
      <c r="P74" s="123"/>
      <c r="Q74" s="123"/>
      <c r="R74" s="123"/>
      <c r="S74" s="123"/>
    </row>
    <row r="75" spans="1:19" ht="20.25" customHeight="1" x14ac:dyDescent="0.2">
      <c r="A75" s="148"/>
      <c r="B75" s="122" t="s">
        <v>310</v>
      </c>
      <c r="C75" s="122" t="s">
        <v>329</v>
      </c>
      <c r="D75" s="122" t="s">
        <v>428</v>
      </c>
      <c r="E75" s="122" t="s">
        <v>450</v>
      </c>
      <c r="F75" s="122" t="s">
        <v>451</v>
      </c>
      <c r="G75" s="123"/>
      <c r="H75" s="123"/>
      <c r="I75" s="124">
        <v>0</v>
      </c>
      <c r="J75" s="124">
        <v>0</v>
      </c>
      <c r="K75" s="123"/>
      <c r="L75" s="118"/>
      <c r="M75" s="123">
        <f t="shared" si="68"/>
        <v>0</v>
      </c>
      <c r="N75" s="123"/>
      <c r="O75" s="123"/>
      <c r="P75" s="123"/>
      <c r="Q75" s="123"/>
      <c r="R75" s="123"/>
      <c r="S75" s="123"/>
    </row>
    <row r="76" spans="1:19" ht="18" customHeight="1" x14ac:dyDescent="0.2">
      <c r="A76" s="148"/>
      <c r="B76" s="122" t="s">
        <v>310</v>
      </c>
      <c r="C76" s="122" t="s">
        <v>329</v>
      </c>
      <c r="D76" s="122" t="s">
        <v>428</v>
      </c>
      <c r="E76" s="122" t="s">
        <v>450</v>
      </c>
      <c r="F76" s="122" t="s">
        <v>452</v>
      </c>
      <c r="G76" s="123"/>
      <c r="H76" s="123"/>
      <c r="I76" s="124">
        <v>180</v>
      </c>
      <c r="J76" s="124">
        <v>180</v>
      </c>
      <c r="K76" s="123"/>
      <c r="L76" s="118"/>
      <c r="M76" s="123">
        <f t="shared" si="68"/>
        <v>0</v>
      </c>
      <c r="N76" s="123"/>
      <c r="O76" s="123"/>
      <c r="P76" s="123"/>
      <c r="Q76" s="123"/>
      <c r="R76" s="123"/>
      <c r="S76" s="123"/>
    </row>
    <row r="77" spans="1:19" ht="42.75" customHeight="1" x14ac:dyDescent="0.2">
      <c r="A77" s="149" t="s">
        <v>453</v>
      </c>
      <c r="B77" s="143" t="s">
        <v>310</v>
      </c>
      <c r="C77" s="143" t="s">
        <v>329</v>
      </c>
      <c r="D77" s="150">
        <v>4010089181</v>
      </c>
      <c r="E77" s="122"/>
      <c r="F77" s="122"/>
      <c r="G77" s="123">
        <f>G78</f>
        <v>161</v>
      </c>
      <c r="H77" s="123">
        <f>H78</f>
        <v>161</v>
      </c>
      <c r="I77" s="124">
        <f>I78</f>
        <v>161</v>
      </c>
      <c r="J77" s="124">
        <f>J78</f>
        <v>161</v>
      </c>
      <c r="K77" s="123">
        <f t="shared" si="67"/>
        <v>0</v>
      </c>
      <c r="L77" s="118">
        <f t="shared" si="3"/>
        <v>100</v>
      </c>
      <c r="M77" s="123">
        <f t="shared" si="68"/>
        <v>0</v>
      </c>
      <c r="N77" s="123">
        <f t="shared" si="69"/>
        <v>100</v>
      </c>
      <c r="O77" s="123">
        <f t="shared" si="70"/>
        <v>100</v>
      </c>
      <c r="P77" s="123">
        <f t="shared" si="71"/>
        <v>100</v>
      </c>
      <c r="Q77" s="123">
        <f t="shared" si="72"/>
        <v>0</v>
      </c>
      <c r="R77" s="123">
        <f t="shared" si="73"/>
        <v>100</v>
      </c>
      <c r="S77" s="123">
        <f t="shared" ref="S77:S82" si="74">J77/$J$329*100</f>
        <v>0.15643733474074123</v>
      </c>
    </row>
    <row r="78" spans="1:19" ht="42" customHeight="1" x14ac:dyDescent="0.2">
      <c r="A78" s="125" t="s">
        <v>416</v>
      </c>
      <c r="B78" s="143" t="s">
        <v>310</v>
      </c>
      <c r="C78" s="143" t="s">
        <v>329</v>
      </c>
      <c r="D78" s="150">
        <v>4010089181</v>
      </c>
      <c r="E78" s="147" t="s">
        <v>417</v>
      </c>
      <c r="F78" s="147"/>
      <c r="G78" s="123">
        <f>G79</f>
        <v>161</v>
      </c>
      <c r="H78" s="123">
        <f>SUM(H79)</f>
        <v>161</v>
      </c>
      <c r="I78" s="124">
        <f t="shared" ref="I78:J78" si="75">SUM(I79)</f>
        <v>161</v>
      </c>
      <c r="J78" s="124">
        <f t="shared" si="75"/>
        <v>161</v>
      </c>
      <c r="K78" s="123">
        <f t="shared" si="67"/>
        <v>0</v>
      </c>
      <c r="L78" s="118">
        <f t="shared" si="3"/>
        <v>100</v>
      </c>
      <c r="M78" s="123">
        <f t="shared" si="68"/>
        <v>0</v>
      </c>
      <c r="N78" s="123">
        <f t="shared" si="69"/>
        <v>100</v>
      </c>
      <c r="O78" s="123">
        <f t="shared" si="70"/>
        <v>100</v>
      </c>
      <c r="P78" s="123">
        <f t="shared" si="71"/>
        <v>100</v>
      </c>
      <c r="Q78" s="123">
        <f t="shared" si="72"/>
        <v>0</v>
      </c>
      <c r="R78" s="123">
        <f t="shared" si="73"/>
        <v>100</v>
      </c>
      <c r="S78" s="123">
        <f t="shared" si="74"/>
        <v>0.15643733474074123</v>
      </c>
    </row>
    <row r="79" spans="1:19" ht="40.5" customHeight="1" x14ac:dyDescent="0.2">
      <c r="A79" s="125" t="s">
        <v>418</v>
      </c>
      <c r="B79" s="143" t="s">
        <v>310</v>
      </c>
      <c r="C79" s="143" t="s">
        <v>329</v>
      </c>
      <c r="D79" s="150">
        <v>4010089181</v>
      </c>
      <c r="E79" s="147">
        <v>244</v>
      </c>
      <c r="F79" s="147">
        <v>226</v>
      </c>
      <c r="G79" s="123">
        <v>161</v>
      </c>
      <c r="H79" s="123">
        <v>161</v>
      </c>
      <c r="I79" s="124">
        <v>161</v>
      </c>
      <c r="J79" s="124">
        <v>161</v>
      </c>
      <c r="K79" s="123">
        <f t="shared" si="67"/>
        <v>0</v>
      </c>
      <c r="L79" s="118">
        <f t="shared" si="3"/>
        <v>100</v>
      </c>
      <c r="M79" s="123">
        <f t="shared" si="68"/>
        <v>0</v>
      </c>
      <c r="N79" s="123">
        <f t="shared" si="69"/>
        <v>100</v>
      </c>
      <c r="O79" s="123">
        <f t="shared" si="70"/>
        <v>100</v>
      </c>
      <c r="P79" s="123">
        <f t="shared" si="71"/>
        <v>100</v>
      </c>
      <c r="Q79" s="123">
        <f t="shared" si="72"/>
        <v>0</v>
      </c>
      <c r="R79" s="123">
        <f t="shared" si="73"/>
        <v>100</v>
      </c>
      <c r="S79" s="123">
        <f t="shared" si="74"/>
        <v>0.15643733474074123</v>
      </c>
    </row>
    <row r="80" spans="1:19" ht="18" customHeight="1" x14ac:dyDescent="0.2">
      <c r="A80" s="125" t="s">
        <v>454</v>
      </c>
      <c r="B80" s="151">
        <v>1</v>
      </c>
      <c r="C80" s="152">
        <v>13</v>
      </c>
      <c r="D80" s="134">
        <v>4010099990</v>
      </c>
      <c r="E80" s="135"/>
      <c r="F80" s="135"/>
      <c r="G80" s="123">
        <f>SUM(G81)+G89+G91</f>
        <v>2502.6999999999998</v>
      </c>
      <c r="H80" s="123">
        <f>SUM(H81)+H89+H91</f>
        <v>5401.4</v>
      </c>
      <c r="I80" s="124">
        <f>SUM(I81)+I89+I91</f>
        <v>5401.4142199999997</v>
      </c>
      <c r="J80" s="124">
        <f>SUM(J81)+J89+J91</f>
        <v>4700.4146799999999</v>
      </c>
      <c r="K80" s="123">
        <f t="shared" si="67"/>
        <v>1.4220000000022992E-2</v>
      </c>
      <c r="L80" s="118">
        <f t="shared" si="3"/>
        <v>100.00026326507943</v>
      </c>
      <c r="M80" s="123">
        <f t="shared" si="68"/>
        <v>-700.9995399999998</v>
      </c>
      <c r="N80" s="123">
        <f t="shared" si="69"/>
        <v>87.021925898510332</v>
      </c>
      <c r="O80" s="123">
        <f t="shared" si="70"/>
        <v>187.81374835178008</v>
      </c>
      <c r="P80" s="123">
        <f t="shared" si="71"/>
        <v>87.022154996852677</v>
      </c>
      <c r="Q80" s="123">
        <f t="shared" si="72"/>
        <v>2898.7</v>
      </c>
      <c r="R80" s="123">
        <f t="shared" si="73"/>
        <v>215.82291125584368</v>
      </c>
      <c r="S80" s="123">
        <f t="shared" si="74"/>
        <v>4.5672071100338769</v>
      </c>
    </row>
    <row r="81" spans="1:19" ht="40.5" customHeight="1" x14ac:dyDescent="0.2">
      <c r="A81" s="125" t="s">
        <v>416</v>
      </c>
      <c r="B81" s="151">
        <v>1</v>
      </c>
      <c r="C81" s="152">
        <v>13</v>
      </c>
      <c r="D81" s="134">
        <v>4010099990</v>
      </c>
      <c r="E81" s="135">
        <v>200</v>
      </c>
      <c r="F81" s="135"/>
      <c r="G81" s="123">
        <f>SUM(G82)</f>
        <v>2472</v>
      </c>
      <c r="H81" s="123">
        <f>SUM(H82)</f>
        <v>5355</v>
      </c>
      <c r="I81" s="124">
        <f>SUM(I82)</f>
        <v>5355.0374199999997</v>
      </c>
      <c r="J81" s="124">
        <f>SUM(J82)</f>
        <v>4654.0378799999999</v>
      </c>
      <c r="K81" s="123">
        <f t="shared" si="67"/>
        <v>3.7419999999656284E-2</v>
      </c>
      <c r="L81" s="118">
        <f t="shared" si="3"/>
        <v>100.00069878618115</v>
      </c>
      <c r="M81" s="123">
        <f t="shared" si="68"/>
        <v>-700.9995399999998</v>
      </c>
      <c r="N81" s="123">
        <f t="shared" si="69"/>
        <v>86.909530503336811</v>
      </c>
      <c r="O81" s="123">
        <f t="shared" si="70"/>
        <v>188.27014077669901</v>
      </c>
      <c r="P81" s="123">
        <f t="shared" si="71"/>
        <v>86.910137815126049</v>
      </c>
      <c r="Q81" s="123">
        <f t="shared" si="72"/>
        <v>2883</v>
      </c>
      <c r="R81" s="123">
        <f t="shared" si="73"/>
        <v>216.626213592233</v>
      </c>
      <c r="S81" s="123">
        <f t="shared" si="74"/>
        <v>4.5221446070164575</v>
      </c>
    </row>
    <row r="82" spans="1:19" ht="43.15" customHeight="1" x14ac:dyDescent="0.2">
      <c r="A82" s="125" t="s">
        <v>418</v>
      </c>
      <c r="B82" s="151">
        <v>1</v>
      </c>
      <c r="C82" s="152">
        <v>13</v>
      </c>
      <c r="D82" s="134">
        <v>4010099990</v>
      </c>
      <c r="E82" s="135">
        <v>240</v>
      </c>
      <c r="F82" s="135"/>
      <c r="G82" s="123">
        <v>2472</v>
      </c>
      <c r="H82" s="123">
        <v>5355</v>
      </c>
      <c r="I82" s="124">
        <f>I83+I84+I85+I86+I87+I88</f>
        <v>5355.0374199999997</v>
      </c>
      <c r="J82" s="124">
        <f>J83+J84+J85+J86+J87+J88</f>
        <v>4654.0378799999999</v>
      </c>
      <c r="K82" s="123">
        <f t="shared" si="67"/>
        <v>3.7419999999656284E-2</v>
      </c>
      <c r="L82" s="118">
        <f t="shared" si="3"/>
        <v>100.00069878618115</v>
      </c>
      <c r="M82" s="123">
        <f t="shared" si="68"/>
        <v>-700.9995399999998</v>
      </c>
      <c r="N82" s="123">
        <f t="shared" si="69"/>
        <v>86.909530503336811</v>
      </c>
      <c r="O82" s="123">
        <f t="shared" si="70"/>
        <v>188.27014077669901</v>
      </c>
      <c r="P82" s="123">
        <f t="shared" si="71"/>
        <v>86.910137815126049</v>
      </c>
      <c r="Q82" s="123">
        <f t="shared" si="72"/>
        <v>2883</v>
      </c>
      <c r="R82" s="123">
        <f t="shared" si="73"/>
        <v>216.626213592233</v>
      </c>
      <c r="S82" s="123">
        <f t="shared" si="74"/>
        <v>4.5221446070164575</v>
      </c>
    </row>
    <row r="83" spans="1:19" ht="21" customHeight="1" x14ac:dyDescent="0.2">
      <c r="A83" s="125"/>
      <c r="B83" s="151">
        <v>1</v>
      </c>
      <c r="C83" s="152">
        <v>13</v>
      </c>
      <c r="D83" s="134">
        <v>4010099990</v>
      </c>
      <c r="E83" s="135">
        <v>244</v>
      </c>
      <c r="F83" s="135">
        <v>223</v>
      </c>
      <c r="G83" s="123"/>
      <c r="H83" s="123"/>
      <c r="I83" s="124">
        <v>209.91944000000001</v>
      </c>
      <c r="J83" s="124">
        <v>209.91944000000001</v>
      </c>
      <c r="K83" s="123"/>
      <c r="L83" s="118"/>
      <c r="M83" s="123">
        <f t="shared" si="68"/>
        <v>0</v>
      </c>
      <c r="N83" s="123"/>
      <c r="O83" s="123"/>
      <c r="P83" s="123"/>
      <c r="Q83" s="123"/>
      <c r="R83" s="123"/>
      <c r="S83" s="123"/>
    </row>
    <row r="84" spans="1:19" ht="24" customHeight="1" x14ac:dyDescent="0.2">
      <c r="A84" s="125"/>
      <c r="B84" s="151">
        <v>1</v>
      </c>
      <c r="C84" s="152">
        <v>13</v>
      </c>
      <c r="D84" s="134">
        <v>4010099990</v>
      </c>
      <c r="E84" s="135">
        <v>244</v>
      </c>
      <c r="F84" s="135">
        <v>225</v>
      </c>
      <c r="G84" s="123"/>
      <c r="H84" s="123"/>
      <c r="I84" s="124">
        <v>1311.9549</v>
      </c>
      <c r="J84" s="124">
        <v>1311.9549</v>
      </c>
      <c r="K84" s="123"/>
      <c r="L84" s="118"/>
      <c r="M84" s="123">
        <f t="shared" si="68"/>
        <v>0</v>
      </c>
      <c r="N84" s="123"/>
      <c r="O84" s="123"/>
      <c r="P84" s="123"/>
      <c r="Q84" s="123"/>
      <c r="R84" s="123"/>
      <c r="S84" s="123"/>
    </row>
    <row r="85" spans="1:19" ht="21" customHeight="1" x14ac:dyDescent="0.2">
      <c r="A85" s="125"/>
      <c r="B85" s="151">
        <v>1</v>
      </c>
      <c r="C85" s="152">
        <v>13</v>
      </c>
      <c r="D85" s="134">
        <v>4010099990</v>
      </c>
      <c r="E85" s="135">
        <v>244</v>
      </c>
      <c r="F85" s="135">
        <v>226</v>
      </c>
      <c r="G85" s="123"/>
      <c r="H85" s="123"/>
      <c r="I85" s="124">
        <v>319.54000000000002</v>
      </c>
      <c r="J85" s="124">
        <v>319.54000000000002</v>
      </c>
      <c r="K85" s="123"/>
      <c r="L85" s="118"/>
      <c r="M85" s="123">
        <f t="shared" si="68"/>
        <v>0</v>
      </c>
      <c r="N85" s="123"/>
      <c r="O85" s="123"/>
      <c r="P85" s="123"/>
      <c r="Q85" s="123"/>
      <c r="R85" s="123"/>
      <c r="S85" s="123"/>
    </row>
    <row r="86" spans="1:19" ht="20.25" customHeight="1" x14ac:dyDescent="0.2">
      <c r="A86" s="125"/>
      <c r="B86" s="151">
        <v>1</v>
      </c>
      <c r="C86" s="152">
        <v>13</v>
      </c>
      <c r="D86" s="134">
        <v>4010099990</v>
      </c>
      <c r="E86" s="135">
        <v>244</v>
      </c>
      <c r="F86" s="135">
        <v>310</v>
      </c>
      <c r="G86" s="123"/>
      <c r="H86" s="123"/>
      <c r="I86" s="124">
        <v>131.59399999999999</v>
      </c>
      <c r="J86" s="124">
        <v>131.59399999999999</v>
      </c>
      <c r="K86" s="123"/>
      <c r="L86" s="118"/>
      <c r="M86" s="123">
        <f t="shared" si="68"/>
        <v>0</v>
      </c>
      <c r="N86" s="123"/>
      <c r="O86" s="123"/>
      <c r="P86" s="123"/>
      <c r="Q86" s="123"/>
      <c r="R86" s="123"/>
      <c r="S86" s="123"/>
    </row>
    <row r="87" spans="1:19" ht="19.5" customHeight="1" x14ac:dyDescent="0.2">
      <c r="A87" s="125"/>
      <c r="B87" s="151">
        <v>1</v>
      </c>
      <c r="C87" s="152">
        <v>13</v>
      </c>
      <c r="D87" s="134">
        <v>4010099990</v>
      </c>
      <c r="E87" s="135">
        <v>244</v>
      </c>
      <c r="F87" s="135">
        <v>346</v>
      </c>
      <c r="G87" s="123"/>
      <c r="H87" s="123"/>
      <c r="I87" s="124">
        <v>34.834000000000003</v>
      </c>
      <c r="J87" s="124">
        <v>34.834000000000003</v>
      </c>
      <c r="K87" s="123"/>
      <c r="L87" s="118"/>
      <c r="M87" s="123">
        <f t="shared" si="68"/>
        <v>0</v>
      </c>
      <c r="N87" s="123"/>
      <c r="O87" s="123"/>
      <c r="P87" s="123"/>
      <c r="Q87" s="123"/>
      <c r="R87" s="123"/>
      <c r="S87" s="123"/>
    </row>
    <row r="88" spans="1:19" ht="22.5" customHeight="1" x14ac:dyDescent="0.2">
      <c r="A88" s="125"/>
      <c r="B88" s="151">
        <v>1</v>
      </c>
      <c r="C88" s="152">
        <v>13</v>
      </c>
      <c r="D88" s="134">
        <v>4010099990</v>
      </c>
      <c r="E88" s="135">
        <v>247</v>
      </c>
      <c r="F88" s="135">
        <v>223</v>
      </c>
      <c r="G88" s="123"/>
      <c r="H88" s="123"/>
      <c r="I88" s="124">
        <v>3347.19508</v>
      </c>
      <c r="J88" s="124">
        <v>2646.1955400000002</v>
      </c>
      <c r="K88" s="123"/>
      <c r="L88" s="118"/>
      <c r="M88" s="123">
        <f t="shared" si="68"/>
        <v>-700.9995399999998</v>
      </c>
      <c r="N88" s="123"/>
      <c r="O88" s="123"/>
      <c r="P88" s="123"/>
      <c r="Q88" s="123"/>
      <c r="R88" s="123"/>
      <c r="S88" s="123"/>
    </row>
    <row r="89" spans="1:19" ht="28.15" customHeight="1" x14ac:dyDescent="0.2">
      <c r="A89" s="125" t="s">
        <v>455</v>
      </c>
      <c r="B89" s="151">
        <v>1</v>
      </c>
      <c r="C89" s="152">
        <v>13</v>
      </c>
      <c r="D89" s="134">
        <v>4010099990</v>
      </c>
      <c r="E89" s="122" t="s">
        <v>456</v>
      </c>
      <c r="F89" s="122"/>
      <c r="G89" s="127">
        <f>G90</f>
        <v>30.7</v>
      </c>
      <c r="H89" s="127">
        <f>H90</f>
        <v>31.4</v>
      </c>
      <c r="I89" s="124">
        <f>I90</f>
        <v>31.376799999999999</v>
      </c>
      <c r="J89" s="124">
        <f>J90</f>
        <v>31.376799999999999</v>
      </c>
      <c r="K89" s="123">
        <f t="shared" si="67"/>
        <v>-2.3199999999999221E-2</v>
      </c>
      <c r="L89" s="118">
        <f t="shared" si="3"/>
        <v>99.926114649681523</v>
      </c>
      <c r="M89" s="123">
        <f t="shared" si="68"/>
        <v>0</v>
      </c>
      <c r="N89" s="123">
        <f t="shared" si="69"/>
        <v>100</v>
      </c>
      <c r="O89" s="123">
        <f t="shared" si="70"/>
        <v>102.20456026058633</v>
      </c>
      <c r="P89" s="123">
        <f t="shared" si="71"/>
        <v>99.926114649681523</v>
      </c>
      <c r="Q89" s="123">
        <f t="shared" si="72"/>
        <v>0.69999999999999929</v>
      </c>
      <c r="R89" s="123">
        <f t="shared" si="73"/>
        <v>102.28013029315962</v>
      </c>
      <c r="S89" s="123">
        <f t="shared" ref="S89:S103" si="76">J89/$J$329*100</f>
        <v>3.0487596053995588E-2</v>
      </c>
    </row>
    <row r="90" spans="1:19" ht="18.75" customHeight="1" x14ac:dyDescent="0.2">
      <c r="A90" s="125" t="s">
        <v>457</v>
      </c>
      <c r="B90" s="151">
        <v>1</v>
      </c>
      <c r="C90" s="152">
        <v>13</v>
      </c>
      <c r="D90" s="134">
        <v>4010099990</v>
      </c>
      <c r="E90" s="122" t="s">
        <v>458</v>
      </c>
      <c r="F90" s="122" t="s">
        <v>459</v>
      </c>
      <c r="G90" s="127">
        <v>30.7</v>
      </c>
      <c r="H90" s="127">
        <v>31.4</v>
      </c>
      <c r="I90" s="124">
        <v>31.376799999999999</v>
      </c>
      <c r="J90" s="124">
        <v>31.376799999999999</v>
      </c>
      <c r="K90" s="123">
        <f t="shared" si="67"/>
        <v>-2.3199999999999221E-2</v>
      </c>
      <c r="L90" s="118">
        <f t="shared" si="3"/>
        <v>99.926114649681523</v>
      </c>
      <c r="M90" s="123">
        <f t="shared" si="68"/>
        <v>0</v>
      </c>
      <c r="N90" s="123">
        <f t="shared" si="69"/>
        <v>100</v>
      </c>
      <c r="O90" s="123">
        <f t="shared" si="70"/>
        <v>102.20456026058633</v>
      </c>
      <c r="P90" s="123">
        <f t="shared" si="71"/>
        <v>99.926114649681523</v>
      </c>
      <c r="Q90" s="123">
        <f t="shared" si="72"/>
        <v>0.69999999999999929</v>
      </c>
      <c r="R90" s="123">
        <f t="shared" si="73"/>
        <v>102.28013029315962</v>
      </c>
      <c r="S90" s="123">
        <f t="shared" si="76"/>
        <v>3.0487596053995588E-2</v>
      </c>
    </row>
    <row r="91" spans="1:19" ht="24" customHeight="1" x14ac:dyDescent="0.2">
      <c r="A91" s="125" t="s">
        <v>445</v>
      </c>
      <c r="B91" s="136">
        <v>1</v>
      </c>
      <c r="C91" s="137">
        <v>13</v>
      </c>
      <c r="D91" s="138">
        <v>4010099990</v>
      </c>
      <c r="E91" s="122" t="s">
        <v>441</v>
      </c>
      <c r="F91" s="122"/>
      <c r="G91" s="123">
        <f>SUM(G92)</f>
        <v>0</v>
      </c>
      <c r="H91" s="123">
        <f>SUM(H92)</f>
        <v>15</v>
      </c>
      <c r="I91" s="124">
        <f>SUM(I92)</f>
        <v>15</v>
      </c>
      <c r="J91" s="124">
        <f>SUM(J92)</f>
        <v>15</v>
      </c>
      <c r="K91" s="123">
        <f t="shared" si="67"/>
        <v>0</v>
      </c>
      <c r="L91" s="118">
        <f t="shared" si="3"/>
        <v>100</v>
      </c>
      <c r="M91" s="123">
        <f t="shared" si="68"/>
        <v>0</v>
      </c>
      <c r="N91" s="123">
        <f t="shared" si="69"/>
        <v>100</v>
      </c>
      <c r="O91" s="123"/>
      <c r="P91" s="123">
        <f t="shared" si="71"/>
        <v>100</v>
      </c>
      <c r="Q91" s="123">
        <f t="shared" si="72"/>
        <v>15</v>
      </c>
      <c r="R91" s="123"/>
      <c r="S91" s="123">
        <f t="shared" si="76"/>
        <v>1.4574906963423097E-2</v>
      </c>
    </row>
    <row r="92" spans="1:19" ht="30" customHeight="1" x14ac:dyDescent="0.2">
      <c r="A92" s="125" t="s">
        <v>446</v>
      </c>
      <c r="B92" s="136">
        <v>1</v>
      </c>
      <c r="C92" s="137">
        <v>13</v>
      </c>
      <c r="D92" s="138">
        <v>4010099990</v>
      </c>
      <c r="E92" s="122" t="s">
        <v>450</v>
      </c>
      <c r="F92" s="122" t="s">
        <v>460</v>
      </c>
      <c r="G92" s="123"/>
      <c r="H92" s="123">
        <v>15</v>
      </c>
      <c r="I92" s="124">
        <v>15</v>
      </c>
      <c r="J92" s="124">
        <v>15</v>
      </c>
      <c r="K92" s="123">
        <f t="shared" si="67"/>
        <v>0</v>
      </c>
      <c r="L92" s="118">
        <f t="shared" si="3"/>
        <v>100</v>
      </c>
      <c r="M92" s="123">
        <f t="shared" si="68"/>
        <v>0</v>
      </c>
      <c r="N92" s="123">
        <f t="shared" si="69"/>
        <v>100</v>
      </c>
      <c r="O92" s="123"/>
      <c r="P92" s="123">
        <f t="shared" si="71"/>
        <v>100</v>
      </c>
      <c r="Q92" s="123">
        <f t="shared" si="72"/>
        <v>15</v>
      </c>
      <c r="R92" s="123"/>
      <c r="S92" s="123">
        <f t="shared" si="76"/>
        <v>1.4574906963423097E-2</v>
      </c>
    </row>
    <row r="93" spans="1:19" ht="41.45" customHeight="1" x14ac:dyDescent="0.2">
      <c r="A93" s="125" t="s">
        <v>461</v>
      </c>
      <c r="B93" s="132">
        <v>1</v>
      </c>
      <c r="C93" s="133">
        <v>13</v>
      </c>
      <c r="D93" s="134">
        <v>4070000000</v>
      </c>
      <c r="E93" s="135"/>
      <c r="F93" s="135"/>
      <c r="G93" s="123">
        <f>G94</f>
        <v>20</v>
      </c>
      <c r="H93" s="123">
        <f>H94</f>
        <v>20</v>
      </c>
      <c r="I93" s="124">
        <f>I94</f>
        <v>20</v>
      </c>
      <c r="J93" s="124">
        <f>J94</f>
        <v>20</v>
      </c>
      <c r="K93" s="123">
        <f t="shared" si="67"/>
        <v>0</v>
      </c>
      <c r="L93" s="118">
        <f t="shared" si="3"/>
        <v>100</v>
      </c>
      <c r="M93" s="123">
        <f t="shared" si="68"/>
        <v>0</v>
      </c>
      <c r="N93" s="123">
        <f t="shared" si="69"/>
        <v>100</v>
      </c>
      <c r="O93" s="123">
        <f t="shared" si="70"/>
        <v>100</v>
      </c>
      <c r="P93" s="123">
        <f t="shared" si="71"/>
        <v>100</v>
      </c>
      <c r="Q93" s="123">
        <f t="shared" si="72"/>
        <v>0</v>
      </c>
      <c r="R93" s="123">
        <f t="shared" si="73"/>
        <v>100</v>
      </c>
      <c r="S93" s="123">
        <f t="shared" si="76"/>
        <v>1.9433209284564129E-2</v>
      </c>
    </row>
    <row r="94" spans="1:19" ht="67.5" x14ac:dyDescent="0.2">
      <c r="A94" s="149" t="s">
        <v>462</v>
      </c>
      <c r="B94" s="132">
        <v>1</v>
      </c>
      <c r="C94" s="133">
        <v>13</v>
      </c>
      <c r="D94" s="134">
        <v>4070089202</v>
      </c>
      <c r="E94" s="135"/>
      <c r="F94" s="135"/>
      <c r="G94" s="123">
        <f t="shared" ref="G94:J95" si="77">SUM(G95)</f>
        <v>20</v>
      </c>
      <c r="H94" s="123">
        <f t="shared" si="77"/>
        <v>20</v>
      </c>
      <c r="I94" s="124">
        <f t="shared" si="77"/>
        <v>20</v>
      </c>
      <c r="J94" s="124">
        <f t="shared" si="77"/>
        <v>20</v>
      </c>
      <c r="K94" s="123">
        <f t="shared" si="67"/>
        <v>0</v>
      </c>
      <c r="L94" s="118">
        <f t="shared" si="3"/>
        <v>100</v>
      </c>
      <c r="M94" s="123">
        <f t="shared" si="68"/>
        <v>0</v>
      </c>
      <c r="N94" s="123">
        <f t="shared" si="69"/>
        <v>100</v>
      </c>
      <c r="O94" s="123">
        <f t="shared" si="70"/>
        <v>100</v>
      </c>
      <c r="P94" s="123">
        <f t="shared" si="71"/>
        <v>100</v>
      </c>
      <c r="Q94" s="123">
        <f t="shared" si="72"/>
        <v>0</v>
      </c>
      <c r="R94" s="123">
        <f t="shared" si="73"/>
        <v>100</v>
      </c>
      <c r="S94" s="123">
        <f t="shared" si="76"/>
        <v>1.9433209284564129E-2</v>
      </c>
    </row>
    <row r="95" spans="1:19" ht="41.25" customHeight="1" x14ac:dyDescent="0.2">
      <c r="A95" s="125" t="s">
        <v>416</v>
      </c>
      <c r="B95" s="132">
        <v>1</v>
      </c>
      <c r="C95" s="133">
        <v>13</v>
      </c>
      <c r="D95" s="134">
        <v>4070089202</v>
      </c>
      <c r="E95" s="135">
        <v>200</v>
      </c>
      <c r="F95" s="135"/>
      <c r="G95" s="123">
        <f t="shared" si="77"/>
        <v>20</v>
      </c>
      <c r="H95" s="123">
        <f t="shared" si="77"/>
        <v>20</v>
      </c>
      <c r="I95" s="124">
        <f t="shared" si="77"/>
        <v>20</v>
      </c>
      <c r="J95" s="124">
        <f t="shared" si="77"/>
        <v>20</v>
      </c>
      <c r="K95" s="123">
        <f t="shared" si="67"/>
        <v>0</v>
      </c>
      <c r="L95" s="118">
        <f t="shared" si="3"/>
        <v>100</v>
      </c>
      <c r="M95" s="123">
        <f t="shared" si="68"/>
        <v>0</v>
      </c>
      <c r="N95" s="123">
        <f t="shared" si="69"/>
        <v>100</v>
      </c>
      <c r="O95" s="123">
        <f t="shared" si="70"/>
        <v>100</v>
      </c>
      <c r="P95" s="123">
        <f t="shared" si="71"/>
        <v>100</v>
      </c>
      <c r="Q95" s="123">
        <f t="shared" si="72"/>
        <v>0</v>
      </c>
      <c r="R95" s="123">
        <f t="shared" si="73"/>
        <v>100</v>
      </c>
      <c r="S95" s="123">
        <f t="shared" si="76"/>
        <v>1.9433209284564129E-2</v>
      </c>
    </row>
    <row r="96" spans="1:19" ht="46.15" customHeight="1" x14ac:dyDescent="0.2">
      <c r="A96" s="131" t="s">
        <v>418</v>
      </c>
      <c r="B96" s="132">
        <v>1</v>
      </c>
      <c r="C96" s="133">
        <v>13</v>
      </c>
      <c r="D96" s="134">
        <v>4070089202</v>
      </c>
      <c r="E96" s="135">
        <v>244</v>
      </c>
      <c r="F96" s="135">
        <v>346</v>
      </c>
      <c r="G96" s="123">
        <v>20</v>
      </c>
      <c r="H96" s="123">
        <v>20</v>
      </c>
      <c r="I96" s="124">
        <v>20</v>
      </c>
      <c r="J96" s="124">
        <v>20</v>
      </c>
      <c r="K96" s="123">
        <f t="shared" si="67"/>
        <v>0</v>
      </c>
      <c r="L96" s="118">
        <f t="shared" si="3"/>
        <v>100</v>
      </c>
      <c r="M96" s="123">
        <f t="shared" si="68"/>
        <v>0</v>
      </c>
      <c r="N96" s="123">
        <f t="shared" si="69"/>
        <v>100</v>
      </c>
      <c r="O96" s="123">
        <f t="shared" si="70"/>
        <v>100</v>
      </c>
      <c r="P96" s="123">
        <f t="shared" si="71"/>
        <v>100</v>
      </c>
      <c r="Q96" s="123">
        <f t="shared" si="72"/>
        <v>0</v>
      </c>
      <c r="R96" s="123">
        <f t="shared" si="73"/>
        <v>100</v>
      </c>
      <c r="S96" s="123">
        <f t="shared" si="76"/>
        <v>1.9433209284564129E-2</v>
      </c>
    </row>
    <row r="97" spans="1:19" s="119" customFormat="1" ht="22.5" customHeight="1" x14ac:dyDescent="0.2">
      <c r="A97" s="114" t="s">
        <v>331</v>
      </c>
      <c r="B97" s="115" t="s">
        <v>316</v>
      </c>
      <c r="C97" s="115"/>
      <c r="D97" s="115"/>
      <c r="E97" s="115"/>
      <c r="F97" s="115"/>
      <c r="G97" s="129">
        <f t="shared" ref="G97:J102" si="78">G98</f>
        <v>594.70000000000005</v>
      </c>
      <c r="H97" s="129">
        <f t="shared" si="78"/>
        <v>617.9</v>
      </c>
      <c r="I97" s="117">
        <f t="shared" si="78"/>
        <v>617.90800000000002</v>
      </c>
      <c r="J97" s="117">
        <f t="shared" si="78"/>
        <v>617.90800000000002</v>
      </c>
      <c r="K97" s="116">
        <f t="shared" si="67"/>
        <v>8.0000000000381988E-3</v>
      </c>
      <c r="L97" s="118">
        <f t="shared" si="3"/>
        <v>100.00129470788156</v>
      </c>
      <c r="M97" s="116">
        <f t="shared" si="68"/>
        <v>0</v>
      </c>
      <c r="N97" s="116">
        <f t="shared" si="69"/>
        <v>100</v>
      </c>
      <c r="O97" s="116">
        <f t="shared" si="70"/>
        <v>103.90247183453842</v>
      </c>
      <c r="P97" s="116">
        <f t="shared" si="71"/>
        <v>100.00129470788156</v>
      </c>
      <c r="Q97" s="116">
        <f t="shared" si="72"/>
        <v>23.199999999999932</v>
      </c>
      <c r="R97" s="116">
        <f t="shared" si="73"/>
        <v>103.90112661846307</v>
      </c>
      <c r="S97" s="116">
        <f t="shared" si="76"/>
        <v>0.60039677413032266</v>
      </c>
    </row>
    <row r="98" spans="1:19" s="119" customFormat="1" ht="33.75" customHeight="1" x14ac:dyDescent="0.2">
      <c r="A98" s="153" t="s">
        <v>332</v>
      </c>
      <c r="B98" s="115" t="s">
        <v>316</v>
      </c>
      <c r="C98" s="115" t="s">
        <v>311</v>
      </c>
      <c r="D98" s="115"/>
      <c r="E98" s="115"/>
      <c r="F98" s="115"/>
      <c r="G98" s="129">
        <f t="shared" si="78"/>
        <v>594.70000000000005</v>
      </c>
      <c r="H98" s="129">
        <f t="shared" si="78"/>
        <v>617.9</v>
      </c>
      <c r="I98" s="117">
        <f t="shared" si="78"/>
        <v>617.90800000000002</v>
      </c>
      <c r="J98" s="117">
        <f t="shared" si="78"/>
        <v>617.90800000000002</v>
      </c>
      <c r="K98" s="116">
        <f t="shared" si="67"/>
        <v>8.0000000000381988E-3</v>
      </c>
      <c r="L98" s="118">
        <f t="shared" si="3"/>
        <v>100.00129470788156</v>
      </c>
      <c r="M98" s="116">
        <f t="shared" si="68"/>
        <v>0</v>
      </c>
      <c r="N98" s="116">
        <f t="shared" si="69"/>
        <v>100</v>
      </c>
      <c r="O98" s="116">
        <f t="shared" si="70"/>
        <v>103.90247183453842</v>
      </c>
      <c r="P98" s="116">
        <f t="shared" si="71"/>
        <v>100.00129470788156</v>
      </c>
      <c r="Q98" s="116">
        <f t="shared" si="72"/>
        <v>23.199999999999932</v>
      </c>
      <c r="R98" s="116">
        <f t="shared" si="73"/>
        <v>103.90112661846307</v>
      </c>
      <c r="S98" s="116">
        <f t="shared" si="76"/>
        <v>0.60039677413032266</v>
      </c>
    </row>
    <row r="99" spans="1:19" ht="33" customHeight="1" x14ac:dyDescent="0.2">
      <c r="A99" s="121" t="s">
        <v>390</v>
      </c>
      <c r="B99" s="122" t="s">
        <v>316</v>
      </c>
      <c r="C99" s="122" t="s">
        <v>311</v>
      </c>
      <c r="D99" s="122" t="s">
        <v>391</v>
      </c>
      <c r="E99" s="122"/>
      <c r="F99" s="122"/>
      <c r="G99" s="127">
        <f>G100</f>
        <v>594.70000000000005</v>
      </c>
      <c r="H99" s="127">
        <f>H100</f>
        <v>617.9</v>
      </c>
      <c r="I99" s="124">
        <f>I100</f>
        <v>617.90800000000002</v>
      </c>
      <c r="J99" s="124">
        <f>J100</f>
        <v>617.90800000000002</v>
      </c>
      <c r="K99" s="123">
        <f t="shared" si="67"/>
        <v>8.0000000000381988E-3</v>
      </c>
      <c r="L99" s="118">
        <f t="shared" si="3"/>
        <v>100.00129470788156</v>
      </c>
      <c r="M99" s="123">
        <f t="shared" si="68"/>
        <v>0</v>
      </c>
      <c r="N99" s="123">
        <f t="shared" si="69"/>
        <v>100</v>
      </c>
      <c r="O99" s="123">
        <f t="shared" si="70"/>
        <v>103.90247183453842</v>
      </c>
      <c r="P99" s="123">
        <f t="shared" si="71"/>
        <v>100.00129470788156</v>
      </c>
      <c r="Q99" s="123">
        <f t="shared" si="72"/>
        <v>23.199999999999932</v>
      </c>
      <c r="R99" s="123">
        <f t="shared" si="73"/>
        <v>103.90112661846307</v>
      </c>
      <c r="S99" s="123">
        <f t="shared" si="76"/>
        <v>0.60039677413032266</v>
      </c>
    </row>
    <row r="100" spans="1:19" ht="50.25" customHeight="1" x14ac:dyDescent="0.2">
      <c r="A100" s="154" t="s">
        <v>463</v>
      </c>
      <c r="B100" s="122" t="s">
        <v>316</v>
      </c>
      <c r="C100" s="122" t="s">
        <v>311</v>
      </c>
      <c r="D100" s="141">
        <v>4040000000</v>
      </c>
      <c r="E100" s="122"/>
      <c r="F100" s="122"/>
      <c r="G100" s="127">
        <f t="shared" si="78"/>
        <v>594.70000000000005</v>
      </c>
      <c r="H100" s="127">
        <f t="shared" si="78"/>
        <v>617.9</v>
      </c>
      <c r="I100" s="124">
        <f t="shared" si="78"/>
        <v>617.90800000000002</v>
      </c>
      <c r="J100" s="124">
        <f t="shared" si="78"/>
        <v>617.90800000000002</v>
      </c>
      <c r="K100" s="123">
        <f t="shared" si="67"/>
        <v>8.0000000000381988E-3</v>
      </c>
      <c r="L100" s="118">
        <f t="shared" si="3"/>
        <v>100.00129470788156</v>
      </c>
      <c r="M100" s="123">
        <f t="shared" si="68"/>
        <v>0</v>
      </c>
      <c r="N100" s="123">
        <f t="shared" si="69"/>
        <v>100</v>
      </c>
      <c r="O100" s="123">
        <f t="shared" si="70"/>
        <v>103.90247183453842</v>
      </c>
      <c r="P100" s="123">
        <f t="shared" si="71"/>
        <v>100.00129470788156</v>
      </c>
      <c r="Q100" s="123">
        <f t="shared" si="72"/>
        <v>23.199999999999932</v>
      </c>
      <c r="R100" s="123">
        <f t="shared" si="73"/>
        <v>103.90112661846307</v>
      </c>
      <c r="S100" s="123">
        <f t="shared" si="76"/>
        <v>0.60039677413032266</v>
      </c>
    </row>
    <row r="101" spans="1:19" ht="52.5" customHeight="1" x14ac:dyDescent="0.2">
      <c r="A101" s="121" t="s">
        <v>464</v>
      </c>
      <c r="B101" s="122" t="s">
        <v>316</v>
      </c>
      <c r="C101" s="122" t="s">
        <v>311</v>
      </c>
      <c r="D101" s="141">
        <v>4040051180</v>
      </c>
      <c r="E101" s="122"/>
      <c r="F101" s="122"/>
      <c r="G101" s="127">
        <f t="shared" si="78"/>
        <v>594.70000000000005</v>
      </c>
      <c r="H101" s="127">
        <f t="shared" si="78"/>
        <v>617.9</v>
      </c>
      <c r="I101" s="124">
        <f t="shared" si="78"/>
        <v>617.90800000000002</v>
      </c>
      <c r="J101" s="124">
        <f t="shared" si="78"/>
        <v>617.90800000000002</v>
      </c>
      <c r="K101" s="123">
        <f t="shared" si="67"/>
        <v>8.0000000000381988E-3</v>
      </c>
      <c r="L101" s="118">
        <f t="shared" si="3"/>
        <v>100.00129470788156</v>
      </c>
      <c r="M101" s="123">
        <f t="shared" si="68"/>
        <v>0</v>
      </c>
      <c r="N101" s="123">
        <f t="shared" si="69"/>
        <v>100</v>
      </c>
      <c r="O101" s="123">
        <f t="shared" si="70"/>
        <v>103.90247183453842</v>
      </c>
      <c r="P101" s="123">
        <f t="shared" si="71"/>
        <v>100.00129470788156</v>
      </c>
      <c r="Q101" s="123">
        <f t="shared" si="72"/>
        <v>23.199999999999932</v>
      </c>
      <c r="R101" s="123">
        <f t="shared" si="73"/>
        <v>103.90112661846307</v>
      </c>
      <c r="S101" s="123">
        <f t="shared" si="76"/>
        <v>0.60039677413032266</v>
      </c>
    </row>
    <row r="102" spans="1:19" ht="65.25" customHeight="1" x14ac:dyDescent="0.2">
      <c r="A102" s="128" t="s">
        <v>396</v>
      </c>
      <c r="B102" s="122" t="s">
        <v>316</v>
      </c>
      <c r="C102" s="122" t="s">
        <v>311</v>
      </c>
      <c r="D102" s="141">
        <v>4040051180</v>
      </c>
      <c r="E102" s="122" t="s">
        <v>397</v>
      </c>
      <c r="F102" s="122"/>
      <c r="G102" s="127">
        <f t="shared" si="78"/>
        <v>594.70000000000005</v>
      </c>
      <c r="H102" s="127">
        <f t="shared" si="78"/>
        <v>617.9</v>
      </c>
      <c r="I102" s="124">
        <f t="shared" si="78"/>
        <v>617.90800000000002</v>
      </c>
      <c r="J102" s="124">
        <f t="shared" si="78"/>
        <v>617.90800000000002</v>
      </c>
      <c r="K102" s="123">
        <f t="shared" si="67"/>
        <v>8.0000000000381988E-3</v>
      </c>
      <c r="L102" s="118">
        <f t="shared" si="3"/>
        <v>100.00129470788156</v>
      </c>
      <c r="M102" s="123">
        <f t="shared" si="68"/>
        <v>0</v>
      </c>
      <c r="N102" s="123">
        <f t="shared" si="69"/>
        <v>100</v>
      </c>
      <c r="O102" s="123">
        <f t="shared" si="70"/>
        <v>103.90247183453842</v>
      </c>
      <c r="P102" s="123">
        <f t="shared" si="71"/>
        <v>100.00129470788156</v>
      </c>
      <c r="Q102" s="123">
        <f t="shared" si="72"/>
        <v>23.199999999999932</v>
      </c>
      <c r="R102" s="123">
        <f t="shared" si="73"/>
        <v>103.90112661846307</v>
      </c>
      <c r="S102" s="123">
        <f t="shared" si="76"/>
        <v>0.60039677413032266</v>
      </c>
    </row>
    <row r="103" spans="1:19" ht="38.25" customHeight="1" x14ac:dyDescent="0.2">
      <c r="A103" s="125" t="s">
        <v>398</v>
      </c>
      <c r="B103" s="122" t="s">
        <v>316</v>
      </c>
      <c r="C103" s="122" t="s">
        <v>311</v>
      </c>
      <c r="D103" s="141">
        <v>4040051180</v>
      </c>
      <c r="E103" s="122" t="s">
        <v>399</v>
      </c>
      <c r="F103" s="122"/>
      <c r="G103" s="127">
        <v>594.70000000000005</v>
      </c>
      <c r="H103" s="127">
        <v>617.9</v>
      </c>
      <c r="I103" s="124">
        <f>I104+I105+I106+I107</f>
        <v>617.90800000000002</v>
      </c>
      <c r="J103" s="124">
        <f>J104+J105+J106+J107</f>
        <v>617.90800000000002</v>
      </c>
      <c r="K103" s="123">
        <f t="shared" si="67"/>
        <v>8.0000000000381988E-3</v>
      </c>
      <c r="L103" s="118">
        <f t="shared" ref="L103:L182" si="79">I103/H103*100</f>
        <v>100.00129470788156</v>
      </c>
      <c r="M103" s="123">
        <f t="shared" si="68"/>
        <v>0</v>
      </c>
      <c r="N103" s="123">
        <f t="shared" si="69"/>
        <v>100</v>
      </c>
      <c r="O103" s="123">
        <f t="shared" si="70"/>
        <v>103.90247183453842</v>
      </c>
      <c r="P103" s="123">
        <f t="shared" si="71"/>
        <v>100.00129470788156</v>
      </c>
      <c r="Q103" s="123">
        <f t="shared" si="72"/>
        <v>23.199999999999932</v>
      </c>
      <c r="R103" s="123">
        <f t="shared" si="73"/>
        <v>103.90112661846307</v>
      </c>
      <c r="S103" s="123">
        <f t="shared" si="76"/>
        <v>0.60039677413032266</v>
      </c>
    </row>
    <row r="104" spans="1:19" ht="21" customHeight="1" x14ac:dyDescent="0.2">
      <c r="A104" s="125"/>
      <c r="B104" s="122" t="s">
        <v>316</v>
      </c>
      <c r="C104" s="122" t="s">
        <v>311</v>
      </c>
      <c r="D104" s="141">
        <v>4040051180</v>
      </c>
      <c r="E104" s="122" t="s">
        <v>400</v>
      </c>
      <c r="F104" s="122" t="s">
        <v>401</v>
      </c>
      <c r="G104" s="127"/>
      <c r="H104" s="127"/>
      <c r="I104" s="124">
        <v>442.45094999999998</v>
      </c>
      <c r="J104" s="124">
        <v>442.45094999999998</v>
      </c>
      <c r="K104" s="123"/>
      <c r="L104" s="118"/>
      <c r="M104" s="123"/>
      <c r="N104" s="123"/>
      <c r="O104" s="123"/>
      <c r="P104" s="123"/>
      <c r="Q104" s="123"/>
      <c r="R104" s="123"/>
      <c r="S104" s="123"/>
    </row>
    <row r="105" spans="1:19" ht="23.25" customHeight="1" x14ac:dyDescent="0.2">
      <c r="A105" s="125"/>
      <c r="B105" s="122" t="s">
        <v>316</v>
      </c>
      <c r="C105" s="122" t="s">
        <v>311</v>
      </c>
      <c r="D105" s="141">
        <v>4040051180</v>
      </c>
      <c r="E105" s="122" t="s">
        <v>400</v>
      </c>
      <c r="F105" s="122" t="s">
        <v>402</v>
      </c>
      <c r="G105" s="127"/>
      <c r="H105" s="127"/>
      <c r="I105" s="124">
        <v>7.5469799999999996</v>
      </c>
      <c r="J105" s="124">
        <v>7.5469799999999996</v>
      </c>
      <c r="K105" s="123"/>
      <c r="L105" s="118"/>
      <c r="M105" s="123"/>
      <c r="N105" s="123"/>
      <c r="O105" s="123"/>
      <c r="P105" s="123"/>
      <c r="Q105" s="123"/>
      <c r="R105" s="123"/>
      <c r="S105" s="123"/>
    </row>
    <row r="106" spans="1:19" ht="27" customHeight="1" x14ac:dyDescent="0.2">
      <c r="A106" s="125"/>
      <c r="B106" s="122" t="s">
        <v>316</v>
      </c>
      <c r="C106" s="122" t="s">
        <v>311</v>
      </c>
      <c r="D106" s="141">
        <v>4040051180</v>
      </c>
      <c r="E106" s="122" t="s">
        <v>407</v>
      </c>
      <c r="F106" s="122" t="s">
        <v>408</v>
      </c>
      <c r="G106" s="127"/>
      <c r="H106" s="127"/>
      <c r="I106" s="124">
        <v>25.843</v>
      </c>
      <c r="J106" s="124">
        <v>25.843</v>
      </c>
      <c r="K106" s="123"/>
      <c r="L106" s="118"/>
      <c r="M106" s="123"/>
      <c r="N106" s="123"/>
      <c r="O106" s="123"/>
      <c r="P106" s="123"/>
      <c r="Q106" s="123"/>
      <c r="R106" s="123"/>
      <c r="S106" s="123"/>
    </row>
    <row r="107" spans="1:19" ht="18.75" customHeight="1" x14ac:dyDescent="0.2">
      <c r="A107" s="125"/>
      <c r="B107" s="122" t="s">
        <v>316</v>
      </c>
      <c r="C107" s="122" t="s">
        <v>311</v>
      </c>
      <c r="D107" s="141">
        <v>4040051180</v>
      </c>
      <c r="E107" s="122" t="s">
        <v>403</v>
      </c>
      <c r="F107" s="122" t="s">
        <v>404</v>
      </c>
      <c r="G107" s="127"/>
      <c r="H107" s="127"/>
      <c r="I107" s="124">
        <v>142.06707</v>
      </c>
      <c r="J107" s="124">
        <v>142.06707</v>
      </c>
      <c r="K107" s="123"/>
      <c r="L107" s="118"/>
      <c r="M107" s="123"/>
      <c r="N107" s="123"/>
      <c r="O107" s="123"/>
      <c r="P107" s="123"/>
      <c r="Q107" s="123"/>
      <c r="R107" s="123"/>
      <c r="S107" s="123"/>
    </row>
    <row r="108" spans="1:19" s="119" customFormat="1" ht="45" customHeight="1" x14ac:dyDescent="0.2">
      <c r="A108" s="120" t="s">
        <v>334</v>
      </c>
      <c r="B108" s="115" t="s">
        <v>311</v>
      </c>
      <c r="C108" s="115"/>
      <c r="D108" s="115"/>
      <c r="E108" s="115"/>
      <c r="F108" s="115"/>
      <c r="G108" s="129">
        <f>G109+G140+G130</f>
        <v>459.9</v>
      </c>
      <c r="H108" s="129">
        <f>H109+H140+H130</f>
        <v>574.20000000000005</v>
      </c>
      <c r="I108" s="117">
        <f>I109+I140+I130</f>
        <v>574.14996999999994</v>
      </c>
      <c r="J108" s="117">
        <f>J109+J140+J130</f>
        <v>360.90335000000005</v>
      </c>
      <c r="K108" s="116">
        <f t="shared" si="67"/>
        <v>-5.0030000000106156E-2</v>
      </c>
      <c r="L108" s="116">
        <f t="shared" si="79"/>
        <v>99.991287008011128</v>
      </c>
      <c r="M108" s="116">
        <f t="shared" si="68"/>
        <v>-213.24661999999989</v>
      </c>
      <c r="N108" s="116">
        <f t="shared" si="69"/>
        <v>62.858724872876003</v>
      </c>
      <c r="O108" s="116">
        <f t="shared" si="70"/>
        <v>78.474309632528829</v>
      </c>
      <c r="P108" s="116">
        <f t="shared" si="71"/>
        <v>62.853247997213515</v>
      </c>
      <c r="Q108" s="116">
        <f t="shared" si="72"/>
        <v>114.30000000000007</v>
      </c>
      <c r="R108" s="116">
        <f t="shared" si="73"/>
        <v>124.85322896281804</v>
      </c>
      <c r="S108" s="116">
        <f t="shared" ref="S108:S114" si="80">J108/$J$329*100</f>
        <v>0.35067551660251495</v>
      </c>
    </row>
    <row r="109" spans="1:19" s="119" customFormat="1" ht="21.75" customHeight="1" x14ac:dyDescent="0.2">
      <c r="A109" s="155" t="s">
        <v>335</v>
      </c>
      <c r="B109" s="115" t="s">
        <v>311</v>
      </c>
      <c r="C109" s="115" t="s">
        <v>319</v>
      </c>
      <c r="D109" s="115"/>
      <c r="E109" s="115"/>
      <c r="F109" s="115"/>
      <c r="G109" s="129">
        <f>G110</f>
        <v>116.8</v>
      </c>
      <c r="H109" s="129">
        <f>H110</f>
        <v>131.1</v>
      </c>
      <c r="I109" s="117">
        <f>I110</f>
        <v>131.04997</v>
      </c>
      <c r="J109" s="117">
        <f>J110</f>
        <v>131.05041</v>
      </c>
      <c r="K109" s="116">
        <f t="shared" si="67"/>
        <v>-5.0029999999992469E-2</v>
      </c>
      <c r="L109" s="116">
        <f t="shared" si="79"/>
        <v>99.96183829138063</v>
      </c>
      <c r="M109" s="116">
        <f t="shared" si="68"/>
        <v>4.3999999999755346E-4</v>
      </c>
      <c r="N109" s="116">
        <f t="shared" si="69"/>
        <v>100.00033574979071</v>
      </c>
      <c r="O109" s="116">
        <f t="shared" si="70"/>
        <v>112.20069349315069</v>
      </c>
      <c r="P109" s="116">
        <f t="shared" si="71"/>
        <v>99.962173913043486</v>
      </c>
      <c r="Q109" s="116">
        <f t="shared" si="72"/>
        <v>14.299999999999997</v>
      </c>
      <c r="R109" s="116">
        <f t="shared" si="73"/>
        <v>112.24315068493152</v>
      </c>
      <c r="S109" s="116">
        <f t="shared" si="80"/>
        <v>0.1273365022178968</v>
      </c>
    </row>
    <row r="110" spans="1:19" ht="29.25" customHeight="1" x14ac:dyDescent="0.2">
      <c r="A110" s="121" t="s">
        <v>390</v>
      </c>
      <c r="B110" s="122" t="s">
        <v>311</v>
      </c>
      <c r="C110" s="122" t="s">
        <v>319</v>
      </c>
      <c r="D110" s="122" t="s">
        <v>391</v>
      </c>
      <c r="E110" s="122"/>
      <c r="F110" s="122"/>
      <c r="G110" s="127">
        <f>SUM(G111)</f>
        <v>116.8</v>
      </c>
      <c r="H110" s="127">
        <f>SUM(H111)</f>
        <v>131.1</v>
      </c>
      <c r="I110" s="124">
        <f>SUM(I111)</f>
        <v>131.04997</v>
      </c>
      <c r="J110" s="124">
        <f>SUM(J111)</f>
        <v>131.05041</v>
      </c>
      <c r="K110" s="123">
        <f t="shared" si="67"/>
        <v>-5.0029999999992469E-2</v>
      </c>
      <c r="L110" s="118">
        <f t="shared" si="79"/>
        <v>99.96183829138063</v>
      </c>
      <c r="M110" s="123">
        <f t="shared" si="68"/>
        <v>4.3999999999755346E-4</v>
      </c>
      <c r="N110" s="123">
        <f t="shared" si="69"/>
        <v>100.00033574979071</v>
      </c>
      <c r="O110" s="123">
        <f t="shared" si="70"/>
        <v>112.20069349315069</v>
      </c>
      <c r="P110" s="123">
        <f t="shared" si="71"/>
        <v>99.962173913043486</v>
      </c>
      <c r="Q110" s="123">
        <f t="shared" si="72"/>
        <v>14.299999999999997</v>
      </c>
      <c r="R110" s="123">
        <f t="shared" si="73"/>
        <v>112.24315068493152</v>
      </c>
      <c r="S110" s="123">
        <f t="shared" si="80"/>
        <v>0.1273365022178968</v>
      </c>
    </row>
    <row r="111" spans="1:19" ht="50.25" customHeight="1" x14ac:dyDescent="0.2">
      <c r="A111" s="125" t="s">
        <v>392</v>
      </c>
      <c r="B111" s="122" t="s">
        <v>311</v>
      </c>
      <c r="C111" s="122" t="s">
        <v>319</v>
      </c>
      <c r="D111" s="143" t="s">
        <v>393</v>
      </c>
      <c r="E111" s="122"/>
      <c r="F111" s="122"/>
      <c r="G111" s="127">
        <f>SUM(G112+G121)</f>
        <v>116.8</v>
      </c>
      <c r="H111" s="127">
        <f>SUM(H112+H121)</f>
        <v>131.1</v>
      </c>
      <c r="I111" s="124">
        <f>SUM(I112+I121)</f>
        <v>131.04997</v>
      </c>
      <c r="J111" s="124">
        <f>SUM(J112+J121)</f>
        <v>131.05041</v>
      </c>
      <c r="K111" s="123">
        <f t="shared" si="67"/>
        <v>-5.0029999999992469E-2</v>
      </c>
      <c r="L111" s="118">
        <f t="shared" si="79"/>
        <v>99.96183829138063</v>
      </c>
      <c r="M111" s="123">
        <f t="shared" si="68"/>
        <v>4.3999999999755346E-4</v>
      </c>
      <c r="N111" s="123">
        <f t="shared" si="69"/>
        <v>100.00033574979071</v>
      </c>
      <c r="O111" s="123">
        <f t="shared" si="70"/>
        <v>112.20069349315069</v>
      </c>
      <c r="P111" s="123">
        <f t="shared" si="71"/>
        <v>99.962173913043486</v>
      </c>
      <c r="Q111" s="123">
        <f t="shared" si="72"/>
        <v>14.299999999999997</v>
      </c>
      <c r="R111" s="123">
        <f t="shared" si="73"/>
        <v>112.24315068493152</v>
      </c>
      <c r="S111" s="123">
        <f t="shared" si="80"/>
        <v>0.1273365022178968</v>
      </c>
    </row>
    <row r="112" spans="1:19" ht="51.75" customHeight="1" x14ac:dyDescent="0.2">
      <c r="A112" s="149" t="s">
        <v>465</v>
      </c>
      <c r="B112" s="122" t="s">
        <v>311</v>
      </c>
      <c r="C112" s="122" t="s">
        <v>319</v>
      </c>
      <c r="D112" s="143" t="s">
        <v>466</v>
      </c>
      <c r="E112" s="122"/>
      <c r="F112" s="122"/>
      <c r="G112" s="123">
        <f>SUM(G113+G117)</f>
        <v>91</v>
      </c>
      <c r="H112" s="123">
        <f>SUM(H113+H117)</f>
        <v>91</v>
      </c>
      <c r="I112" s="124">
        <f>SUM(I113+I117)</f>
        <v>90.999989999999997</v>
      </c>
      <c r="J112" s="124">
        <f>SUM(J113+J117)</f>
        <v>90.999989999999997</v>
      </c>
      <c r="K112" s="123">
        <f t="shared" si="67"/>
        <v>-1.0000000003174137E-5</v>
      </c>
      <c r="L112" s="118">
        <f t="shared" si="79"/>
        <v>99.999989010989012</v>
      </c>
      <c r="M112" s="123">
        <f t="shared" si="68"/>
        <v>0</v>
      </c>
      <c r="N112" s="123">
        <f t="shared" si="69"/>
        <v>100</v>
      </c>
      <c r="O112" s="123">
        <f t="shared" si="70"/>
        <v>99.999989010989012</v>
      </c>
      <c r="P112" s="123">
        <f t="shared" si="71"/>
        <v>99.999989010989012</v>
      </c>
      <c r="Q112" s="123">
        <f t="shared" si="72"/>
        <v>0</v>
      </c>
      <c r="R112" s="123">
        <f t="shared" si="73"/>
        <v>100</v>
      </c>
      <c r="S112" s="123">
        <f t="shared" si="80"/>
        <v>8.8421092528162146E-2</v>
      </c>
    </row>
    <row r="113" spans="1:19" ht="63" x14ac:dyDescent="0.2">
      <c r="A113" s="128" t="s">
        <v>396</v>
      </c>
      <c r="B113" s="122" t="s">
        <v>311</v>
      </c>
      <c r="C113" s="122" t="s">
        <v>319</v>
      </c>
      <c r="D113" s="143" t="s">
        <v>466</v>
      </c>
      <c r="E113" s="122" t="s">
        <v>397</v>
      </c>
      <c r="F113" s="122"/>
      <c r="G113" s="123">
        <f>SUM(G114)</f>
        <v>87</v>
      </c>
      <c r="H113" s="123">
        <f>SUM(H114)</f>
        <v>80.7</v>
      </c>
      <c r="I113" s="124">
        <f>SUM(I114)</f>
        <v>80.712909999999994</v>
      </c>
      <c r="J113" s="124">
        <f>SUM(J114)</f>
        <v>80.712909999999994</v>
      </c>
      <c r="K113" s="123">
        <f t="shared" si="67"/>
        <v>1.2909999999990873E-2</v>
      </c>
      <c r="L113" s="118">
        <f t="shared" si="79"/>
        <v>100.01599752168524</v>
      </c>
      <c r="M113" s="123">
        <f t="shared" si="68"/>
        <v>0</v>
      </c>
      <c r="N113" s="123">
        <f t="shared" si="69"/>
        <v>100</v>
      </c>
      <c r="O113" s="123">
        <f t="shared" si="70"/>
        <v>92.773459770114926</v>
      </c>
      <c r="P113" s="123">
        <f t="shared" si="71"/>
        <v>100.01599752168524</v>
      </c>
      <c r="Q113" s="123">
        <f t="shared" si="72"/>
        <v>-6.2999999999999972</v>
      </c>
      <c r="R113" s="123">
        <f t="shared" si="73"/>
        <v>92.758620689655174</v>
      </c>
      <c r="S113" s="123">
        <f t="shared" si="80"/>
        <v>7.8425543599809439E-2</v>
      </c>
    </row>
    <row r="114" spans="1:19" ht="33.75" x14ac:dyDescent="0.2">
      <c r="A114" s="125" t="s">
        <v>398</v>
      </c>
      <c r="B114" s="122" t="s">
        <v>311</v>
      </c>
      <c r="C114" s="122" t="s">
        <v>319</v>
      </c>
      <c r="D114" s="143" t="s">
        <v>466</v>
      </c>
      <c r="E114" s="122" t="s">
        <v>399</v>
      </c>
      <c r="F114" s="122"/>
      <c r="G114" s="123">
        <v>87</v>
      </c>
      <c r="H114" s="123">
        <v>80.7</v>
      </c>
      <c r="I114" s="124">
        <f>I115+I116</f>
        <v>80.712909999999994</v>
      </c>
      <c r="J114" s="124">
        <f>J115+J116</f>
        <v>80.712909999999994</v>
      </c>
      <c r="K114" s="123">
        <f t="shared" si="67"/>
        <v>1.2909999999990873E-2</v>
      </c>
      <c r="L114" s="118">
        <f t="shared" si="79"/>
        <v>100.01599752168524</v>
      </c>
      <c r="M114" s="123">
        <f t="shared" si="68"/>
        <v>0</v>
      </c>
      <c r="N114" s="123">
        <f t="shared" si="69"/>
        <v>100</v>
      </c>
      <c r="O114" s="123">
        <f t="shared" si="70"/>
        <v>92.773459770114926</v>
      </c>
      <c r="P114" s="123">
        <f t="shared" si="71"/>
        <v>100.01599752168524</v>
      </c>
      <c r="Q114" s="123">
        <f t="shared" si="72"/>
        <v>-6.2999999999999972</v>
      </c>
      <c r="R114" s="123">
        <f t="shared" si="73"/>
        <v>92.758620689655174</v>
      </c>
      <c r="S114" s="123">
        <f t="shared" si="80"/>
        <v>7.8425543599809439E-2</v>
      </c>
    </row>
    <row r="115" spans="1:19" ht="25.5" customHeight="1" x14ac:dyDescent="0.2">
      <c r="A115" s="125"/>
      <c r="B115" s="122" t="s">
        <v>311</v>
      </c>
      <c r="C115" s="122" t="s">
        <v>319</v>
      </c>
      <c r="D115" s="143" t="s">
        <v>466</v>
      </c>
      <c r="E115" s="122" t="s">
        <v>400</v>
      </c>
      <c r="F115" s="122" t="s">
        <v>401</v>
      </c>
      <c r="G115" s="123"/>
      <c r="H115" s="123"/>
      <c r="I115" s="124">
        <v>61.382950000000001</v>
      </c>
      <c r="J115" s="124">
        <v>61.382950000000001</v>
      </c>
      <c r="K115" s="123"/>
      <c r="L115" s="118"/>
      <c r="M115" s="123"/>
      <c r="N115" s="123"/>
      <c r="O115" s="123"/>
      <c r="P115" s="123"/>
      <c r="Q115" s="123"/>
      <c r="R115" s="123"/>
      <c r="S115" s="123"/>
    </row>
    <row r="116" spans="1:19" ht="21.75" customHeight="1" x14ac:dyDescent="0.2">
      <c r="A116" s="125"/>
      <c r="B116" s="122" t="s">
        <v>311</v>
      </c>
      <c r="C116" s="122" t="s">
        <v>319</v>
      </c>
      <c r="D116" s="143" t="s">
        <v>466</v>
      </c>
      <c r="E116" s="122" t="s">
        <v>403</v>
      </c>
      <c r="F116" s="122" t="s">
        <v>404</v>
      </c>
      <c r="G116" s="123"/>
      <c r="H116" s="123"/>
      <c r="I116" s="124">
        <v>19.32996</v>
      </c>
      <c r="J116" s="124">
        <v>19.32996</v>
      </c>
      <c r="K116" s="123"/>
      <c r="L116" s="118"/>
      <c r="M116" s="123"/>
      <c r="N116" s="123"/>
      <c r="O116" s="123"/>
      <c r="P116" s="123"/>
      <c r="Q116" s="123"/>
      <c r="R116" s="123"/>
      <c r="S116" s="123"/>
    </row>
    <row r="117" spans="1:19" ht="37.15" customHeight="1" x14ac:dyDescent="0.2">
      <c r="A117" s="125" t="s">
        <v>416</v>
      </c>
      <c r="B117" s="122" t="s">
        <v>311</v>
      </c>
      <c r="C117" s="122" t="s">
        <v>319</v>
      </c>
      <c r="D117" s="143" t="s">
        <v>466</v>
      </c>
      <c r="E117" s="122" t="s">
        <v>417</v>
      </c>
      <c r="F117" s="122"/>
      <c r="G117" s="123">
        <f>G118</f>
        <v>4</v>
      </c>
      <c r="H117" s="123">
        <f>H118</f>
        <v>10.3</v>
      </c>
      <c r="I117" s="124">
        <f>I118</f>
        <v>10.28708</v>
      </c>
      <c r="J117" s="124">
        <f>J118</f>
        <v>10.28708</v>
      </c>
      <c r="K117" s="123">
        <f t="shared" si="67"/>
        <v>-1.2920000000001153E-2</v>
      </c>
      <c r="L117" s="118">
        <f t="shared" si="79"/>
        <v>99.874563106796117</v>
      </c>
      <c r="M117" s="123">
        <f t="shared" si="68"/>
        <v>0</v>
      </c>
      <c r="N117" s="123">
        <f t="shared" si="69"/>
        <v>100</v>
      </c>
      <c r="O117" s="123">
        <f t="shared" si="70"/>
        <v>257.17699999999996</v>
      </c>
      <c r="P117" s="123">
        <f t="shared" si="71"/>
        <v>99.874563106796117</v>
      </c>
      <c r="Q117" s="123">
        <f t="shared" si="72"/>
        <v>6.3000000000000007</v>
      </c>
      <c r="R117" s="123">
        <f t="shared" si="73"/>
        <v>257.5</v>
      </c>
      <c r="S117" s="123">
        <f>J117/$J$329*100</f>
        <v>9.9955489283526967E-3</v>
      </c>
    </row>
    <row r="118" spans="1:19" ht="41.25" customHeight="1" x14ac:dyDescent="0.2">
      <c r="A118" s="125" t="s">
        <v>418</v>
      </c>
      <c r="B118" s="122" t="s">
        <v>311</v>
      </c>
      <c r="C118" s="122" t="s">
        <v>319</v>
      </c>
      <c r="D118" s="143" t="s">
        <v>466</v>
      </c>
      <c r="E118" s="122" t="s">
        <v>419</v>
      </c>
      <c r="F118" s="122"/>
      <c r="G118" s="123">
        <v>4</v>
      </c>
      <c r="H118" s="123">
        <v>10.3</v>
      </c>
      <c r="I118" s="124">
        <f>I119+I120</f>
        <v>10.28708</v>
      </c>
      <c r="J118" s="124">
        <f>J119+J120</f>
        <v>10.28708</v>
      </c>
      <c r="K118" s="123">
        <f t="shared" si="67"/>
        <v>-1.2920000000001153E-2</v>
      </c>
      <c r="L118" s="118">
        <f t="shared" si="79"/>
        <v>99.874563106796117</v>
      </c>
      <c r="M118" s="123">
        <f t="shared" si="68"/>
        <v>0</v>
      </c>
      <c r="N118" s="123">
        <f t="shared" si="69"/>
        <v>100</v>
      </c>
      <c r="O118" s="123">
        <f t="shared" si="70"/>
        <v>257.17699999999996</v>
      </c>
      <c r="P118" s="123">
        <f t="shared" si="71"/>
        <v>99.874563106796117</v>
      </c>
      <c r="Q118" s="123">
        <f t="shared" si="72"/>
        <v>6.3000000000000007</v>
      </c>
      <c r="R118" s="123">
        <f t="shared" si="73"/>
        <v>257.5</v>
      </c>
      <c r="S118" s="123">
        <f>J118/$J$329*100</f>
        <v>9.9955489283526967E-3</v>
      </c>
    </row>
    <row r="119" spans="1:19" ht="23.25" customHeight="1" x14ac:dyDescent="0.2">
      <c r="A119" s="148"/>
      <c r="B119" s="122" t="s">
        <v>311</v>
      </c>
      <c r="C119" s="122" t="s">
        <v>319</v>
      </c>
      <c r="D119" s="143" t="s">
        <v>466</v>
      </c>
      <c r="E119" s="122" t="s">
        <v>420</v>
      </c>
      <c r="F119" s="122" t="s">
        <v>424</v>
      </c>
      <c r="G119" s="123"/>
      <c r="H119" s="123"/>
      <c r="I119" s="124">
        <v>4.2939999999999996</v>
      </c>
      <c r="J119" s="124">
        <v>4.2939999999999996</v>
      </c>
      <c r="K119" s="123"/>
      <c r="L119" s="118"/>
      <c r="M119" s="123"/>
      <c r="N119" s="123"/>
      <c r="O119" s="123"/>
      <c r="P119" s="123"/>
      <c r="Q119" s="123"/>
      <c r="R119" s="123"/>
      <c r="S119" s="123"/>
    </row>
    <row r="120" spans="1:19" ht="21.75" customHeight="1" x14ac:dyDescent="0.2">
      <c r="A120" s="148"/>
      <c r="B120" s="122" t="s">
        <v>311</v>
      </c>
      <c r="C120" s="122" t="s">
        <v>319</v>
      </c>
      <c r="D120" s="143" t="s">
        <v>466</v>
      </c>
      <c r="E120" s="122" t="s">
        <v>420</v>
      </c>
      <c r="F120" s="122" t="s">
        <v>426</v>
      </c>
      <c r="G120" s="123"/>
      <c r="H120" s="123"/>
      <c r="I120" s="124">
        <v>5.99308</v>
      </c>
      <c r="J120" s="124">
        <v>5.99308</v>
      </c>
      <c r="K120" s="123"/>
      <c r="L120" s="118"/>
      <c r="M120" s="123"/>
      <c r="N120" s="123"/>
      <c r="O120" s="123"/>
      <c r="P120" s="123"/>
      <c r="Q120" s="123"/>
      <c r="R120" s="123"/>
      <c r="S120" s="123"/>
    </row>
    <row r="121" spans="1:19" ht="57.75" customHeight="1" x14ac:dyDescent="0.2">
      <c r="A121" s="156" t="s">
        <v>467</v>
      </c>
      <c r="B121" s="122" t="s">
        <v>311</v>
      </c>
      <c r="C121" s="122" t="s">
        <v>319</v>
      </c>
      <c r="D121" s="143" t="s">
        <v>468</v>
      </c>
      <c r="E121" s="122"/>
      <c r="F121" s="122"/>
      <c r="G121" s="127">
        <f>SUM(G126)+G122</f>
        <v>25.8</v>
      </c>
      <c r="H121" s="127">
        <f>SUM(H126)+H122</f>
        <v>40.1</v>
      </c>
      <c r="I121" s="124">
        <f>SUM(I126)+I122</f>
        <v>40.049979999999998</v>
      </c>
      <c r="J121" s="124">
        <f>SUM(J126)+J122</f>
        <v>40.050420000000003</v>
      </c>
      <c r="K121" s="123">
        <f t="shared" si="67"/>
        <v>-5.0020000000003506E-2</v>
      </c>
      <c r="L121" s="118">
        <f t="shared" si="79"/>
        <v>99.875261845386518</v>
      </c>
      <c r="M121" s="123">
        <f t="shared" si="68"/>
        <v>4.4000000000465889E-4</v>
      </c>
      <c r="N121" s="123">
        <f t="shared" si="69"/>
        <v>100.00109862726525</v>
      </c>
      <c r="O121" s="123">
        <f t="shared" si="70"/>
        <v>155.23418604651164</v>
      </c>
      <c r="P121" s="123">
        <f t="shared" si="71"/>
        <v>99.876359102244393</v>
      </c>
      <c r="Q121" s="123">
        <f t="shared" si="72"/>
        <v>14.3</v>
      </c>
      <c r="R121" s="123">
        <f t="shared" si="73"/>
        <v>155.4263565891473</v>
      </c>
      <c r="S121" s="123">
        <f>J121/$J$329*100</f>
        <v>3.8915409689734649E-2</v>
      </c>
    </row>
    <row r="122" spans="1:19" ht="58.5" customHeight="1" x14ac:dyDescent="0.2">
      <c r="A122" s="128" t="s">
        <v>396</v>
      </c>
      <c r="B122" s="122" t="s">
        <v>311</v>
      </c>
      <c r="C122" s="122" t="s">
        <v>319</v>
      </c>
      <c r="D122" s="143" t="s">
        <v>468</v>
      </c>
      <c r="E122" s="122" t="s">
        <v>397</v>
      </c>
      <c r="F122" s="122"/>
      <c r="G122" s="123">
        <f>SUM(G123)</f>
        <v>24.7</v>
      </c>
      <c r="H122" s="123">
        <f>SUM(H123)</f>
        <v>28.1</v>
      </c>
      <c r="I122" s="124">
        <f>SUM(I123)</f>
        <v>28.033989999999999</v>
      </c>
      <c r="J122" s="124">
        <f>SUM(J123)</f>
        <v>28.03443</v>
      </c>
      <c r="K122" s="123">
        <f t="shared" si="67"/>
        <v>-6.6010000000002123E-2</v>
      </c>
      <c r="L122" s="118">
        <f t="shared" si="79"/>
        <v>99.765088967971522</v>
      </c>
      <c r="M122" s="123">
        <f t="shared" si="68"/>
        <v>4.4000000000110617E-4</v>
      </c>
      <c r="N122" s="123">
        <f t="shared" si="69"/>
        <v>100.00156952328227</v>
      </c>
      <c r="O122" s="123">
        <f t="shared" si="70"/>
        <v>113.49971659919029</v>
      </c>
      <c r="P122" s="123">
        <f t="shared" si="71"/>
        <v>99.766654804270459</v>
      </c>
      <c r="Q122" s="123">
        <f t="shared" si="72"/>
        <v>3.4000000000000021</v>
      </c>
      <c r="R122" s="123">
        <f t="shared" si="73"/>
        <v>113.76518218623484</v>
      </c>
      <c r="S122" s="123">
        <f>J122/$J$329*100</f>
        <v>2.7239947268173158E-2</v>
      </c>
    </row>
    <row r="123" spans="1:19" ht="36" customHeight="1" x14ac:dyDescent="0.2">
      <c r="A123" s="125" t="s">
        <v>398</v>
      </c>
      <c r="B123" s="122" t="s">
        <v>311</v>
      </c>
      <c r="C123" s="122" t="s">
        <v>319</v>
      </c>
      <c r="D123" s="143" t="s">
        <v>468</v>
      </c>
      <c r="E123" s="122" t="s">
        <v>399</v>
      </c>
      <c r="F123" s="122"/>
      <c r="G123" s="123">
        <v>24.7</v>
      </c>
      <c r="H123" s="123">
        <v>28.1</v>
      </c>
      <c r="I123" s="124">
        <f>I124+I125</f>
        <v>28.033989999999999</v>
      </c>
      <c r="J123" s="124">
        <f>J124+J125</f>
        <v>28.03443</v>
      </c>
      <c r="K123" s="123">
        <f t="shared" si="67"/>
        <v>-6.6010000000002123E-2</v>
      </c>
      <c r="L123" s="118">
        <f t="shared" si="79"/>
        <v>99.765088967971522</v>
      </c>
      <c r="M123" s="123">
        <f t="shared" si="68"/>
        <v>4.4000000000110617E-4</v>
      </c>
      <c r="N123" s="123">
        <f t="shared" si="69"/>
        <v>100.00156952328227</v>
      </c>
      <c r="O123" s="123">
        <f t="shared" si="70"/>
        <v>113.49971659919029</v>
      </c>
      <c r="P123" s="123">
        <f t="shared" si="71"/>
        <v>99.766654804270459</v>
      </c>
      <c r="Q123" s="123">
        <f t="shared" si="72"/>
        <v>3.4000000000000021</v>
      </c>
      <c r="R123" s="123">
        <f t="shared" si="73"/>
        <v>113.76518218623484</v>
      </c>
      <c r="S123" s="123">
        <f>J123/$J$329*100</f>
        <v>2.7239947268173158E-2</v>
      </c>
    </row>
    <row r="124" spans="1:19" ht="20.25" customHeight="1" x14ac:dyDescent="0.2">
      <c r="A124" s="125"/>
      <c r="B124" s="122" t="s">
        <v>311</v>
      </c>
      <c r="C124" s="122" t="s">
        <v>319</v>
      </c>
      <c r="D124" s="143" t="s">
        <v>468</v>
      </c>
      <c r="E124" s="122" t="s">
        <v>400</v>
      </c>
      <c r="F124" s="122" t="s">
        <v>401</v>
      </c>
      <c r="G124" s="123"/>
      <c r="H124" s="123"/>
      <c r="I124" s="124">
        <v>22.13983</v>
      </c>
      <c r="J124" s="124">
        <v>22.13983</v>
      </c>
      <c r="K124" s="123"/>
      <c r="L124" s="118"/>
      <c r="M124" s="123"/>
      <c r="N124" s="123"/>
      <c r="O124" s="123"/>
      <c r="P124" s="123"/>
      <c r="Q124" s="123"/>
      <c r="R124" s="123"/>
      <c r="S124" s="123"/>
    </row>
    <row r="125" spans="1:19" ht="21.75" customHeight="1" x14ac:dyDescent="0.2">
      <c r="A125" s="125"/>
      <c r="B125" s="122" t="s">
        <v>311</v>
      </c>
      <c r="C125" s="122" t="s">
        <v>319</v>
      </c>
      <c r="D125" s="143" t="s">
        <v>468</v>
      </c>
      <c r="E125" s="122" t="s">
        <v>403</v>
      </c>
      <c r="F125" s="122" t="s">
        <v>404</v>
      </c>
      <c r="G125" s="123"/>
      <c r="H125" s="123"/>
      <c r="I125" s="124">
        <v>5.8941600000000003</v>
      </c>
      <c r="J125" s="124">
        <v>5.8945999999999996</v>
      </c>
      <c r="K125" s="123"/>
      <c r="L125" s="118"/>
      <c r="M125" s="123"/>
      <c r="N125" s="123"/>
      <c r="O125" s="123"/>
      <c r="P125" s="123"/>
      <c r="Q125" s="123"/>
      <c r="R125" s="123"/>
      <c r="S125" s="123"/>
    </row>
    <row r="126" spans="1:19" ht="39" customHeight="1" x14ac:dyDescent="0.2">
      <c r="A126" s="125" t="s">
        <v>416</v>
      </c>
      <c r="B126" s="122" t="s">
        <v>311</v>
      </c>
      <c r="C126" s="122" t="s">
        <v>319</v>
      </c>
      <c r="D126" s="143" t="s">
        <v>468</v>
      </c>
      <c r="E126" s="122" t="s">
        <v>417</v>
      </c>
      <c r="F126" s="122"/>
      <c r="G126" s="123">
        <f>SUM(G127)</f>
        <v>1.1000000000000001</v>
      </c>
      <c r="H126" s="123">
        <f>SUM(H127)</f>
        <v>12</v>
      </c>
      <c r="I126" s="124">
        <f>SUM(I127)</f>
        <v>12.01599</v>
      </c>
      <c r="J126" s="124">
        <f>SUM(J127)</f>
        <v>12.01599</v>
      </c>
      <c r="K126" s="123">
        <f t="shared" si="67"/>
        <v>1.5990000000000393E-2</v>
      </c>
      <c r="L126" s="118">
        <f t="shared" si="79"/>
        <v>100.13324999999999</v>
      </c>
      <c r="M126" s="123">
        <f t="shared" si="68"/>
        <v>0</v>
      </c>
      <c r="N126" s="123">
        <f t="shared" si="69"/>
        <v>100</v>
      </c>
      <c r="O126" s="123">
        <f t="shared" si="70"/>
        <v>1092.3627272727272</v>
      </c>
      <c r="P126" s="123">
        <f t="shared" si="71"/>
        <v>100.13324999999999</v>
      </c>
      <c r="Q126" s="123">
        <f t="shared" si="72"/>
        <v>10.9</v>
      </c>
      <c r="R126" s="123">
        <f t="shared" si="73"/>
        <v>1090.9090909090908</v>
      </c>
      <c r="S126" s="123">
        <f>J126/$J$329*100</f>
        <v>1.1675462421561486E-2</v>
      </c>
    </row>
    <row r="127" spans="1:19" ht="37.5" customHeight="1" x14ac:dyDescent="0.2">
      <c r="A127" s="125" t="s">
        <v>418</v>
      </c>
      <c r="B127" s="122" t="s">
        <v>311</v>
      </c>
      <c r="C127" s="122" t="s">
        <v>319</v>
      </c>
      <c r="D127" s="143" t="s">
        <v>468</v>
      </c>
      <c r="E127" s="122" t="s">
        <v>419</v>
      </c>
      <c r="F127" s="122"/>
      <c r="G127" s="123">
        <v>1.1000000000000001</v>
      </c>
      <c r="H127" s="123">
        <v>12</v>
      </c>
      <c r="I127" s="124">
        <f>I128+I129</f>
        <v>12.01599</v>
      </c>
      <c r="J127" s="124">
        <f>J128+J129</f>
        <v>12.01599</v>
      </c>
      <c r="K127" s="123">
        <f t="shared" si="67"/>
        <v>1.5990000000000393E-2</v>
      </c>
      <c r="L127" s="118">
        <f t="shared" si="79"/>
        <v>100.13324999999999</v>
      </c>
      <c r="M127" s="123">
        <f t="shared" si="68"/>
        <v>0</v>
      </c>
      <c r="N127" s="123">
        <f t="shared" si="69"/>
        <v>100</v>
      </c>
      <c r="O127" s="123">
        <f t="shared" si="70"/>
        <v>1092.3627272727272</v>
      </c>
      <c r="P127" s="123">
        <f t="shared" si="71"/>
        <v>100.13324999999999</v>
      </c>
      <c r="Q127" s="123">
        <f t="shared" si="72"/>
        <v>10.9</v>
      </c>
      <c r="R127" s="123">
        <f t="shared" si="73"/>
        <v>1090.9090909090908</v>
      </c>
      <c r="S127" s="123">
        <f>J127/$J$329*100</f>
        <v>1.1675462421561486E-2</v>
      </c>
    </row>
    <row r="128" spans="1:19" ht="19.5" customHeight="1" x14ac:dyDescent="0.2">
      <c r="A128" s="157"/>
      <c r="B128" s="122" t="s">
        <v>311</v>
      </c>
      <c r="C128" s="122" t="s">
        <v>319</v>
      </c>
      <c r="D128" s="143" t="s">
        <v>468</v>
      </c>
      <c r="E128" s="122" t="s">
        <v>420</v>
      </c>
      <c r="F128" s="122" t="s">
        <v>424</v>
      </c>
      <c r="G128" s="123"/>
      <c r="H128" s="123"/>
      <c r="I128" s="124">
        <v>12.00699</v>
      </c>
      <c r="J128" s="124">
        <v>12.00699</v>
      </c>
      <c r="K128" s="123"/>
      <c r="L128" s="118"/>
      <c r="M128" s="123"/>
      <c r="N128" s="123"/>
      <c r="O128" s="123"/>
      <c r="P128" s="123"/>
      <c r="Q128" s="123"/>
      <c r="R128" s="123"/>
      <c r="S128" s="123"/>
    </row>
    <row r="129" spans="1:19" ht="21" customHeight="1" x14ac:dyDescent="0.2">
      <c r="A129" s="157"/>
      <c r="B129" s="122" t="s">
        <v>311</v>
      </c>
      <c r="C129" s="122" t="s">
        <v>319</v>
      </c>
      <c r="D129" s="143" t="s">
        <v>468</v>
      </c>
      <c r="E129" s="122" t="s">
        <v>420</v>
      </c>
      <c r="F129" s="122" t="s">
        <v>426</v>
      </c>
      <c r="G129" s="123"/>
      <c r="H129" s="123"/>
      <c r="I129" s="124">
        <v>8.9999999999999993E-3</v>
      </c>
      <c r="J129" s="124">
        <v>8.9999999999999993E-3</v>
      </c>
      <c r="K129" s="123"/>
      <c r="L129" s="118"/>
      <c r="M129" s="123"/>
      <c r="N129" s="123"/>
      <c r="O129" s="123"/>
      <c r="P129" s="123"/>
      <c r="Q129" s="123"/>
      <c r="R129" s="123"/>
      <c r="S129" s="123"/>
    </row>
    <row r="130" spans="1:19" s="119" customFormat="1" ht="54" customHeight="1" x14ac:dyDescent="0.2">
      <c r="A130" s="158" t="s">
        <v>339</v>
      </c>
      <c r="B130" s="115" t="s">
        <v>311</v>
      </c>
      <c r="C130" s="115" t="s">
        <v>312</v>
      </c>
      <c r="D130" s="115"/>
      <c r="E130" s="115"/>
      <c r="F130" s="115"/>
      <c r="G130" s="129">
        <f t="shared" ref="G130:J132" si="81">G131</f>
        <v>298.7</v>
      </c>
      <c r="H130" s="129">
        <f t="shared" si="81"/>
        <v>398.7</v>
      </c>
      <c r="I130" s="117">
        <f t="shared" si="81"/>
        <v>398.7</v>
      </c>
      <c r="J130" s="117">
        <f t="shared" si="81"/>
        <v>185.45294000000001</v>
      </c>
      <c r="K130" s="116">
        <f t="shared" si="67"/>
        <v>0</v>
      </c>
      <c r="L130" s="116">
        <f t="shared" si="79"/>
        <v>100</v>
      </c>
      <c r="M130" s="116">
        <f t="shared" si="68"/>
        <v>-213.24705999999998</v>
      </c>
      <c r="N130" s="116">
        <f t="shared" si="69"/>
        <v>46.514406822172063</v>
      </c>
      <c r="O130" s="116">
        <f t="shared" si="70"/>
        <v>62.08668898560429</v>
      </c>
      <c r="P130" s="116">
        <f t="shared" si="71"/>
        <v>46.514406822172063</v>
      </c>
      <c r="Q130" s="116">
        <f t="shared" si="72"/>
        <v>100</v>
      </c>
      <c r="R130" s="116">
        <f t="shared" si="73"/>
        <v>133.47840642785405</v>
      </c>
      <c r="S130" s="116">
        <f t="shared" ref="S130:S135" si="82">J130/$J$329*100</f>
        <v>0.18019728977288574</v>
      </c>
    </row>
    <row r="131" spans="1:19" ht="22.5" x14ac:dyDescent="0.2">
      <c r="A131" s="121" t="s">
        <v>390</v>
      </c>
      <c r="B131" s="122" t="s">
        <v>311</v>
      </c>
      <c r="C131" s="122" t="s">
        <v>312</v>
      </c>
      <c r="D131" s="143" t="s">
        <v>391</v>
      </c>
      <c r="E131" s="143"/>
      <c r="F131" s="143"/>
      <c r="G131" s="159">
        <f t="shared" si="81"/>
        <v>298.7</v>
      </c>
      <c r="H131" s="159">
        <f t="shared" si="81"/>
        <v>398.7</v>
      </c>
      <c r="I131" s="146">
        <f t="shared" si="81"/>
        <v>398.7</v>
      </c>
      <c r="J131" s="146">
        <f t="shared" si="81"/>
        <v>185.45294000000001</v>
      </c>
      <c r="K131" s="123">
        <f t="shared" si="67"/>
        <v>0</v>
      </c>
      <c r="L131" s="118">
        <f t="shared" si="79"/>
        <v>100</v>
      </c>
      <c r="M131" s="123">
        <f t="shared" si="68"/>
        <v>-213.24705999999998</v>
      </c>
      <c r="N131" s="123">
        <f t="shared" si="69"/>
        <v>46.514406822172063</v>
      </c>
      <c r="O131" s="123">
        <f t="shared" si="70"/>
        <v>62.08668898560429</v>
      </c>
      <c r="P131" s="123">
        <f t="shared" si="71"/>
        <v>46.514406822172063</v>
      </c>
      <c r="Q131" s="123">
        <f t="shared" si="72"/>
        <v>100</v>
      </c>
      <c r="R131" s="123">
        <f t="shared" si="73"/>
        <v>133.47840642785405</v>
      </c>
      <c r="S131" s="123">
        <f t="shared" si="82"/>
        <v>0.18019728977288574</v>
      </c>
    </row>
    <row r="132" spans="1:19" ht="74.25" customHeight="1" x14ac:dyDescent="0.2">
      <c r="A132" s="131" t="s">
        <v>469</v>
      </c>
      <c r="B132" s="122" t="s">
        <v>311</v>
      </c>
      <c r="C132" s="122" t="s">
        <v>312</v>
      </c>
      <c r="D132" s="122" t="s">
        <v>470</v>
      </c>
      <c r="E132" s="122"/>
      <c r="F132" s="122"/>
      <c r="G132" s="123">
        <f t="shared" si="81"/>
        <v>298.7</v>
      </c>
      <c r="H132" s="123">
        <f t="shared" si="81"/>
        <v>398.7</v>
      </c>
      <c r="I132" s="124">
        <f t="shared" si="81"/>
        <v>398.7</v>
      </c>
      <c r="J132" s="124">
        <f t="shared" si="81"/>
        <v>185.45294000000001</v>
      </c>
      <c r="K132" s="123">
        <f t="shared" si="67"/>
        <v>0</v>
      </c>
      <c r="L132" s="118">
        <f t="shared" si="79"/>
        <v>100</v>
      </c>
      <c r="M132" s="123">
        <f t="shared" si="68"/>
        <v>-213.24705999999998</v>
      </c>
      <c r="N132" s="123">
        <f t="shared" si="69"/>
        <v>46.514406822172063</v>
      </c>
      <c r="O132" s="123">
        <f t="shared" si="70"/>
        <v>62.08668898560429</v>
      </c>
      <c r="P132" s="123">
        <f t="shared" si="71"/>
        <v>46.514406822172063</v>
      </c>
      <c r="Q132" s="123">
        <f t="shared" si="72"/>
        <v>100</v>
      </c>
      <c r="R132" s="123">
        <f t="shared" si="73"/>
        <v>133.47840642785405</v>
      </c>
      <c r="S132" s="123">
        <f t="shared" si="82"/>
        <v>0.18019728977288574</v>
      </c>
    </row>
    <row r="133" spans="1:19" ht="20.25" customHeight="1" x14ac:dyDescent="0.2">
      <c r="A133" s="160" t="s">
        <v>471</v>
      </c>
      <c r="B133" s="122" t="s">
        <v>311</v>
      </c>
      <c r="C133" s="122" t="s">
        <v>312</v>
      </c>
      <c r="D133" s="122" t="s">
        <v>472</v>
      </c>
      <c r="E133" s="122"/>
      <c r="F133" s="122"/>
      <c r="G133" s="127">
        <f t="shared" ref="G133:J134" si="83">SUM(G134)</f>
        <v>298.7</v>
      </c>
      <c r="H133" s="127">
        <f t="shared" si="83"/>
        <v>398.7</v>
      </c>
      <c r="I133" s="124">
        <f t="shared" si="83"/>
        <v>398.7</v>
      </c>
      <c r="J133" s="124">
        <f t="shared" si="83"/>
        <v>185.45294000000001</v>
      </c>
      <c r="K133" s="123">
        <f t="shared" si="67"/>
        <v>0</v>
      </c>
      <c r="L133" s="118">
        <f t="shared" si="79"/>
        <v>100</v>
      </c>
      <c r="M133" s="123">
        <f t="shared" si="68"/>
        <v>-213.24705999999998</v>
      </c>
      <c r="N133" s="123">
        <f t="shared" si="69"/>
        <v>46.514406822172063</v>
      </c>
      <c r="O133" s="123">
        <f t="shared" si="70"/>
        <v>62.08668898560429</v>
      </c>
      <c r="P133" s="123">
        <f t="shared" si="71"/>
        <v>46.514406822172063</v>
      </c>
      <c r="Q133" s="123">
        <f t="shared" si="72"/>
        <v>100</v>
      </c>
      <c r="R133" s="123">
        <f t="shared" si="73"/>
        <v>133.47840642785405</v>
      </c>
      <c r="S133" s="123">
        <f t="shared" si="82"/>
        <v>0.18019728977288574</v>
      </c>
    </row>
    <row r="134" spans="1:19" ht="39.75" customHeight="1" x14ac:dyDescent="0.2">
      <c r="A134" s="125" t="s">
        <v>416</v>
      </c>
      <c r="B134" s="122" t="s">
        <v>311</v>
      </c>
      <c r="C134" s="122" t="s">
        <v>312</v>
      </c>
      <c r="D134" s="122" t="s">
        <v>472</v>
      </c>
      <c r="E134" s="122" t="s">
        <v>417</v>
      </c>
      <c r="F134" s="122"/>
      <c r="G134" s="127">
        <f t="shared" si="83"/>
        <v>298.7</v>
      </c>
      <c r="H134" s="127">
        <f t="shared" si="83"/>
        <v>398.7</v>
      </c>
      <c r="I134" s="124">
        <f t="shared" si="83"/>
        <v>398.7</v>
      </c>
      <c r="J134" s="124">
        <f t="shared" si="83"/>
        <v>185.45294000000001</v>
      </c>
      <c r="K134" s="123">
        <f t="shared" ref="K134:K197" si="84">I134-H134</f>
        <v>0</v>
      </c>
      <c r="L134" s="118">
        <f t="shared" si="79"/>
        <v>100</v>
      </c>
      <c r="M134" s="123">
        <f t="shared" ref="M134:M197" si="85">J134-I134</f>
        <v>-213.24705999999998</v>
      </c>
      <c r="N134" s="123">
        <f t="shared" ref="N134:N197" si="86">J134/I134*100</f>
        <v>46.514406822172063</v>
      </c>
      <c r="O134" s="123">
        <f t="shared" ref="O134:O192" si="87">J134/G134*100</f>
        <v>62.08668898560429</v>
      </c>
      <c r="P134" s="123">
        <f t="shared" ref="P134:P197" si="88">J134/H134*100</f>
        <v>46.514406822172063</v>
      </c>
      <c r="Q134" s="123">
        <f t="shared" ref="Q134:Q197" si="89">H134-G134</f>
        <v>100</v>
      </c>
      <c r="R134" s="123">
        <f t="shared" ref="R134:R192" si="90">H134/G134*100</f>
        <v>133.47840642785405</v>
      </c>
      <c r="S134" s="123">
        <f t="shared" si="82"/>
        <v>0.18019728977288574</v>
      </c>
    </row>
    <row r="135" spans="1:19" ht="42.75" customHeight="1" x14ac:dyDescent="0.2">
      <c r="A135" s="125" t="s">
        <v>418</v>
      </c>
      <c r="B135" s="122" t="s">
        <v>311</v>
      </c>
      <c r="C135" s="122" t="s">
        <v>312</v>
      </c>
      <c r="D135" s="122" t="s">
        <v>472</v>
      </c>
      <c r="E135" s="122" t="s">
        <v>419</v>
      </c>
      <c r="F135" s="122"/>
      <c r="G135" s="127">
        <v>298.7</v>
      </c>
      <c r="H135" s="127">
        <v>398.7</v>
      </c>
      <c r="I135" s="124">
        <f>I136+I137+I138+I139</f>
        <v>398.7</v>
      </c>
      <c r="J135" s="124">
        <f>J136+J137+J138+J139</f>
        <v>185.45294000000001</v>
      </c>
      <c r="K135" s="123">
        <f t="shared" si="84"/>
        <v>0</v>
      </c>
      <c r="L135" s="118">
        <f t="shared" si="79"/>
        <v>100</v>
      </c>
      <c r="M135" s="123">
        <f t="shared" si="85"/>
        <v>-213.24705999999998</v>
      </c>
      <c r="N135" s="123">
        <f t="shared" si="86"/>
        <v>46.514406822172063</v>
      </c>
      <c r="O135" s="123">
        <f t="shared" si="87"/>
        <v>62.08668898560429</v>
      </c>
      <c r="P135" s="123">
        <f t="shared" si="88"/>
        <v>46.514406822172063</v>
      </c>
      <c r="Q135" s="123">
        <f t="shared" si="89"/>
        <v>100</v>
      </c>
      <c r="R135" s="123">
        <f t="shared" si="90"/>
        <v>133.47840642785405</v>
      </c>
      <c r="S135" s="123">
        <f t="shared" si="82"/>
        <v>0.18019728977288574</v>
      </c>
    </row>
    <row r="136" spans="1:19" ht="18.75" customHeight="1" x14ac:dyDescent="0.2">
      <c r="A136" s="125"/>
      <c r="B136" s="122" t="s">
        <v>311</v>
      </c>
      <c r="C136" s="122" t="s">
        <v>312</v>
      </c>
      <c r="D136" s="122" t="s">
        <v>472</v>
      </c>
      <c r="E136" s="122" t="s">
        <v>420</v>
      </c>
      <c r="F136" s="122" t="s">
        <v>422</v>
      </c>
      <c r="G136" s="127"/>
      <c r="H136" s="127"/>
      <c r="I136" s="124">
        <v>256.02706000000001</v>
      </c>
      <c r="J136" s="124">
        <v>42.78</v>
      </c>
      <c r="K136" s="123"/>
      <c r="L136" s="118"/>
      <c r="M136" s="123">
        <f t="shared" si="85"/>
        <v>-213.24706</v>
      </c>
      <c r="N136" s="123"/>
      <c r="O136" s="123"/>
      <c r="P136" s="123"/>
      <c r="Q136" s="123"/>
      <c r="R136" s="123"/>
      <c r="S136" s="123"/>
    </row>
    <row r="137" spans="1:19" ht="25.5" customHeight="1" x14ac:dyDescent="0.2">
      <c r="A137" s="125"/>
      <c r="B137" s="122" t="s">
        <v>311</v>
      </c>
      <c r="C137" s="122" t="s">
        <v>312</v>
      </c>
      <c r="D137" s="122" t="s">
        <v>472</v>
      </c>
      <c r="E137" s="122" t="s">
        <v>420</v>
      </c>
      <c r="F137" s="122" t="s">
        <v>415</v>
      </c>
      <c r="G137" s="127"/>
      <c r="H137" s="127"/>
      <c r="I137" s="124">
        <v>92</v>
      </c>
      <c r="J137" s="124">
        <v>92</v>
      </c>
      <c r="K137" s="123"/>
      <c r="L137" s="118"/>
      <c r="M137" s="123">
        <f t="shared" si="85"/>
        <v>0</v>
      </c>
      <c r="N137" s="123"/>
      <c r="O137" s="123"/>
      <c r="P137" s="123"/>
      <c r="Q137" s="123"/>
      <c r="R137" s="123"/>
      <c r="S137" s="123"/>
    </row>
    <row r="138" spans="1:19" ht="21" customHeight="1" x14ac:dyDescent="0.2">
      <c r="A138" s="125"/>
      <c r="B138" s="122" t="s">
        <v>311</v>
      </c>
      <c r="C138" s="122" t="s">
        <v>312</v>
      </c>
      <c r="D138" s="122" t="s">
        <v>472</v>
      </c>
      <c r="E138" s="122" t="s">
        <v>420</v>
      </c>
      <c r="F138" s="122" t="s">
        <v>426</v>
      </c>
      <c r="G138" s="127"/>
      <c r="H138" s="127"/>
      <c r="I138" s="124">
        <v>1.5</v>
      </c>
      <c r="J138" s="124">
        <v>1.5</v>
      </c>
      <c r="K138" s="123"/>
      <c r="L138" s="118"/>
      <c r="M138" s="123">
        <f t="shared" si="85"/>
        <v>0</v>
      </c>
      <c r="N138" s="123"/>
      <c r="O138" s="123"/>
      <c r="P138" s="123"/>
      <c r="Q138" s="123"/>
      <c r="R138" s="123"/>
      <c r="S138" s="123"/>
    </row>
    <row r="139" spans="1:19" ht="18.75" customHeight="1" x14ac:dyDescent="0.2">
      <c r="A139" s="125"/>
      <c r="B139" s="122" t="s">
        <v>311</v>
      </c>
      <c r="C139" s="122" t="s">
        <v>312</v>
      </c>
      <c r="D139" s="122" t="s">
        <v>472</v>
      </c>
      <c r="E139" s="122" t="s">
        <v>473</v>
      </c>
      <c r="F139" s="122" t="s">
        <v>474</v>
      </c>
      <c r="G139" s="127"/>
      <c r="H139" s="127"/>
      <c r="I139" s="124">
        <v>49.172939999999997</v>
      </c>
      <c r="J139" s="124">
        <v>49.172939999999997</v>
      </c>
      <c r="K139" s="123"/>
      <c r="L139" s="118"/>
      <c r="M139" s="123">
        <f t="shared" si="85"/>
        <v>0</v>
      </c>
      <c r="N139" s="123"/>
      <c r="O139" s="123"/>
      <c r="P139" s="123"/>
      <c r="Q139" s="123"/>
      <c r="R139" s="123"/>
      <c r="S139" s="123"/>
    </row>
    <row r="140" spans="1:19" s="119" customFormat="1" ht="59.25" customHeight="1" x14ac:dyDescent="0.2">
      <c r="A140" s="161" t="s">
        <v>340</v>
      </c>
      <c r="B140" s="115" t="s">
        <v>311</v>
      </c>
      <c r="C140" s="115" t="s">
        <v>341</v>
      </c>
      <c r="D140" s="115"/>
      <c r="E140" s="115"/>
      <c r="F140" s="115"/>
      <c r="G140" s="129">
        <f>G141</f>
        <v>44.400000000000006</v>
      </c>
      <c r="H140" s="129">
        <f>H141</f>
        <v>44.400000000000006</v>
      </c>
      <c r="I140" s="117">
        <f>I141</f>
        <v>44.4</v>
      </c>
      <c r="J140" s="117">
        <f>J141</f>
        <v>44.4</v>
      </c>
      <c r="K140" s="116">
        <f t="shared" si="84"/>
        <v>0</v>
      </c>
      <c r="L140" s="116">
        <f t="shared" si="79"/>
        <v>99.999999999999986</v>
      </c>
      <c r="M140" s="116">
        <f t="shared" si="85"/>
        <v>0</v>
      </c>
      <c r="N140" s="116">
        <f t="shared" si="86"/>
        <v>100</v>
      </c>
      <c r="O140" s="116">
        <f t="shared" si="87"/>
        <v>99.999999999999986</v>
      </c>
      <c r="P140" s="116">
        <f t="shared" si="88"/>
        <v>99.999999999999986</v>
      </c>
      <c r="Q140" s="116">
        <f t="shared" si="89"/>
        <v>0</v>
      </c>
      <c r="R140" s="116">
        <f t="shared" si="90"/>
        <v>100</v>
      </c>
      <c r="S140" s="116">
        <f t="shared" ref="S140:S183" si="91">J140/$J$329*100</f>
        <v>4.3141724611732366E-2</v>
      </c>
    </row>
    <row r="141" spans="1:19" ht="68.25" customHeight="1" x14ac:dyDescent="0.2">
      <c r="A141" s="121" t="s">
        <v>475</v>
      </c>
      <c r="B141" s="162">
        <v>3</v>
      </c>
      <c r="C141" s="162">
        <v>14</v>
      </c>
      <c r="D141" s="163" t="s">
        <v>476</v>
      </c>
      <c r="E141" s="141"/>
      <c r="F141" s="141"/>
      <c r="G141" s="141">
        <f>SUM(G142)</f>
        <v>44.400000000000006</v>
      </c>
      <c r="H141" s="141">
        <f>SUM(H142)</f>
        <v>44.400000000000006</v>
      </c>
      <c r="I141" s="124">
        <f>SUM(I142)</f>
        <v>44.4</v>
      </c>
      <c r="J141" s="124">
        <f>SUM(J142)</f>
        <v>44.4</v>
      </c>
      <c r="K141" s="123">
        <f t="shared" si="84"/>
        <v>0</v>
      </c>
      <c r="L141" s="118">
        <f t="shared" si="79"/>
        <v>99.999999999999986</v>
      </c>
      <c r="M141" s="123">
        <f t="shared" si="85"/>
        <v>0</v>
      </c>
      <c r="N141" s="123">
        <f t="shared" si="86"/>
        <v>100</v>
      </c>
      <c r="O141" s="123">
        <f t="shared" si="87"/>
        <v>99.999999999999986</v>
      </c>
      <c r="P141" s="123">
        <f t="shared" si="88"/>
        <v>99.999999999999986</v>
      </c>
      <c r="Q141" s="123">
        <f t="shared" si="89"/>
        <v>0</v>
      </c>
      <c r="R141" s="123">
        <f t="shared" si="90"/>
        <v>100</v>
      </c>
      <c r="S141" s="123">
        <f t="shared" si="91"/>
        <v>4.3141724611732366E-2</v>
      </c>
    </row>
    <row r="142" spans="1:19" ht="41.25" customHeight="1" x14ac:dyDescent="0.2">
      <c r="A142" s="125" t="s">
        <v>477</v>
      </c>
      <c r="B142" s="162">
        <v>3</v>
      </c>
      <c r="C142" s="162">
        <v>14</v>
      </c>
      <c r="D142" s="163" t="s">
        <v>478</v>
      </c>
      <c r="E142" s="141"/>
      <c r="F142" s="141"/>
      <c r="G142" s="141">
        <f>SUM(G143)+G148</f>
        <v>44.400000000000006</v>
      </c>
      <c r="H142" s="141">
        <f>SUM(H143)+H148</f>
        <v>44.400000000000006</v>
      </c>
      <c r="I142" s="124">
        <f>SUM(I143)+I148</f>
        <v>44.4</v>
      </c>
      <c r="J142" s="124">
        <f>SUM(J143)+J148</f>
        <v>44.4</v>
      </c>
      <c r="K142" s="123">
        <f t="shared" si="84"/>
        <v>0</v>
      </c>
      <c r="L142" s="118">
        <f t="shared" si="79"/>
        <v>99.999999999999986</v>
      </c>
      <c r="M142" s="123">
        <f t="shared" si="85"/>
        <v>0</v>
      </c>
      <c r="N142" s="123">
        <f t="shared" si="86"/>
        <v>100</v>
      </c>
      <c r="O142" s="123">
        <f t="shared" si="87"/>
        <v>99.999999999999986</v>
      </c>
      <c r="P142" s="123">
        <f t="shared" si="88"/>
        <v>99.999999999999986</v>
      </c>
      <c r="Q142" s="123">
        <f t="shared" si="89"/>
        <v>0</v>
      </c>
      <c r="R142" s="123">
        <f t="shared" si="90"/>
        <v>100</v>
      </c>
      <c r="S142" s="123">
        <f t="shared" si="91"/>
        <v>4.3141724611732366E-2</v>
      </c>
    </row>
    <row r="143" spans="1:19" ht="32.25" customHeight="1" x14ac:dyDescent="0.2">
      <c r="A143" s="149" t="s">
        <v>479</v>
      </c>
      <c r="B143" s="122" t="s">
        <v>311</v>
      </c>
      <c r="C143" s="162">
        <v>14</v>
      </c>
      <c r="D143" s="122" t="s">
        <v>480</v>
      </c>
      <c r="E143" s="141"/>
      <c r="F143" s="141"/>
      <c r="G143" s="141">
        <f>SUM(G146+G144)</f>
        <v>31.1</v>
      </c>
      <c r="H143" s="141">
        <f>SUM(H146+H144)</f>
        <v>31.1</v>
      </c>
      <c r="I143" s="124">
        <f>SUM(I146+I144)</f>
        <v>31.1</v>
      </c>
      <c r="J143" s="124">
        <f>SUM(J146+J144)</f>
        <v>31.1</v>
      </c>
      <c r="K143" s="123">
        <f t="shared" si="84"/>
        <v>0</v>
      </c>
      <c r="L143" s="118">
        <f t="shared" si="79"/>
        <v>100</v>
      </c>
      <c r="M143" s="123">
        <f t="shared" si="85"/>
        <v>0</v>
      </c>
      <c r="N143" s="123">
        <f t="shared" si="86"/>
        <v>100</v>
      </c>
      <c r="O143" s="123">
        <f t="shared" si="87"/>
        <v>100</v>
      </c>
      <c r="P143" s="123">
        <f t="shared" si="88"/>
        <v>100</v>
      </c>
      <c r="Q143" s="123">
        <f t="shared" si="89"/>
        <v>0</v>
      </c>
      <c r="R143" s="123">
        <f t="shared" si="90"/>
        <v>100</v>
      </c>
      <c r="S143" s="123">
        <f t="shared" si="91"/>
        <v>3.0218640437497224E-2</v>
      </c>
    </row>
    <row r="144" spans="1:19" ht="58.5" customHeight="1" x14ac:dyDescent="0.2">
      <c r="A144" s="128" t="s">
        <v>396</v>
      </c>
      <c r="B144" s="122" t="s">
        <v>311</v>
      </c>
      <c r="C144" s="162">
        <v>14</v>
      </c>
      <c r="D144" s="122" t="s">
        <v>480</v>
      </c>
      <c r="E144" s="122" t="s">
        <v>397</v>
      </c>
      <c r="F144" s="122"/>
      <c r="G144" s="127">
        <f>SUM(G145)</f>
        <v>24.1</v>
      </c>
      <c r="H144" s="127">
        <f>SUM(H145)</f>
        <v>26.6</v>
      </c>
      <c r="I144" s="124">
        <f>SUM(I145)</f>
        <v>26.55</v>
      </c>
      <c r="J144" s="124">
        <f>SUM(J145)</f>
        <v>26.55</v>
      </c>
      <c r="K144" s="123">
        <f t="shared" si="84"/>
        <v>-5.0000000000000711E-2</v>
      </c>
      <c r="L144" s="118">
        <f t="shared" si="79"/>
        <v>99.812030075187963</v>
      </c>
      <c r="M144" s="123">
        <f t="shared" si="85"/>
        <v>0</v>
      </c>
      <c r="N144" s="123">
        <f t="shared" si="86"/>
        <v>100</v>
      </c>
      <c r="O144" s="123">
        <f t="shared" si="87"/>
        <v>110.16597510373443</v>
      </c>
      <c r="P144" s="123">
        <f t="shared" si="88"/>
        <v>99.812030075187963</v>
      </c>
      <c r="Q144" s="123">
        <f t="shared" si="89"/>
        <v>2.5</v>
      </c>
      <c r="R144" s="123">
        <f t="shared" si="90"/>
        <v>110.3734439834025</v>
      </c>
      <c r="S144" s="123">
        <f t="shared" si="91"/>
        <v>2.5797585325258884E-2</v>
      </c>
    </row>
    <row r="145" spans="1:19" ht="33.75" x14ac:dyDescent="0.2">
      <c r="A145" s="125" t="s">
        <v>398</v>
      </c>
      <c r="B145" s="122" t="s">
        <v>311</v>
      </c>
      <c r="C145" s="162">
        <v>14</v>
      </c>
      <c r="D145" s="122" t="s">
        <v>480</v>
      </c>
      <c r="E145" s="122" t="s">
        <v>481</v>
      </c>
      <c r="F145" s="122" t="s">
        <v>415</v>
      </c>
      <c r="G145" s="127">
        <v>24.1</v>
      </c>
      <c r="H145" s="127">
        <v>26.6</v>
      </c>
      <c r="I145" s="124">
        <v>26.55</v>
      </c>
      <c r="J145" s="124">
        <v>26.55</v>
      </c>
      <c r="K145" s="123">
        <f t="shared" si="84"/>
        <v>-5.0000000000000711E-2</v>
      </c>
      <c r="L145" s="118">
        <f t="shared" si="79"/>
        <v>99.812030075187963</v>
      </c>
      <c r="M145" s="123">
        <f t="shared" si="85"/>
        <v>0</v>
      </c>
      <c r="N145" s="123">
        <f t="shared" si="86"/>
        <v>100</v>
      </c>
      <c r="O145" s="123">
        <f t="shared" si="87"/>
        <v>110.16597510373443</v>
      </c>
      <c r="P145" s="123">
        <f t="shared" si="88"/>
        <v>99.812030075187963</v>
      </c>
      <c r="Q145" s="123">
        <f t="shared" si="89"/>
        <v>2.5</v>
      </c>
      <c r="R145" s="123">
        <f t="shared" si="90"/>
        <v>110.3734439834025</v>
      </c>
      <c r="S145" s="123">
        <f t="shared" si="91"/>
        <v>2.5797585325258884E-2</v>
      </c>
    </row>
    <row r="146" spans="1:19" ht="39" customHeight="1" x14ac:dyDescent="0.2">
      <c r="A146" s="125" t="s">
        <v>416</v>
      </c>
      <c r="B146" s="122" t="s">
        <v>311</v>
      </c>
      <c r="C146" s="162">
        <v>14</v>
      </c>
      <c r="D146" s="122" t="s">
        <v>480</v>
      </c>
      <c r="E146" s="141">
        <v>200</v>
      </c>
      <c r="F146" s="141"/>
      <c r="G146" s="123">
        <f>SUM(G147)</f>
        <v>7</v>
      </c>
      <c r="H146" s="123">
        <f>SUM(H147)</f>
        <v>4.5</v>
      </c>
      <c r="I146" s="124">
        <f>SUM(I147)</f>
        <v>4.55</v>
      </c>
      <c r="J146" s="124">
        <f>SUM(J147)</f>
        <v>4.55</v>
      </c>
      <c r="K146" s="123">
        <f t="shared" si="84"/>
        <v>4.9999999999999822E-2</v>
      </c>
      <c r="L146" s="118">
        <f t="shared" si="79"/>
        <v>101.11111111111111</v>
      </c>
      <c r="M146" s="123">
        <f t="shared" si="85"/>
        <v>0</v>
      </c>
      <c r="N146" s="123">
        <f t="shared" si="86"/>
        <v>100</v>
      </c>
      <c r="O146" s="123">
        <f t="shared" si="87"/>
        <v>65</v>
      </c>
      <c r="P146" s="123">
        <f t="shared" si="88"/>
        <v>101.11111111111111</v>
      </c>
      <c r="Q146" s="123">
        <f t="shared" si="89"/>
        <v>-2.5</v>
      </c>
      <c r="R146" s="123">
        <f t="shared" si="90"/>
        <v>64.285714285714292</v>
      </c>
      <c r="S146" s="123">
        <f t="shared" si="91"/>
        <v>4.4210551122383394E-3</v>
      </c>
    </row>
    <row r="147" spans="1:19" ht="36" customHeight="1" x14ac:dyDescent="0.2">
      <c r="A147" s="125" t="s">
        <v>418</v>
      </c>
      <c r="B147" s="122" t="s">
        <v>311</v>
      </c>
      <c r="C147" s="162">
        <v>14</v>
      </c>
      <c r="D147" s="122" t="s">
        <v>480</v>
      </c>
      <c r="E147" s="141">
        <v>244</v>
      </c>
      <c r="F147" s="141">
        <v>227</v>
      </c>
      <c r="G147" s="123">
        <v>7</v>
      </c>
      <c r="H147" s="123">
        <v>4.5</v>
      </c>
      <c r="I147" s="124">
        <v>4.55</v>
      </c>
      <c r="J147" s="124">
        <v>4.55</v>
      </c>
      <c r="K147" s="123">
        <f t="shared" si="84"/>
        <v>4.9999999999999822E-2</v>
      </c>
      <c r="L147" s="118">
        <f t="shared" si="79"/>
        <v>101.11111111111111</v>
      </c>
      <c r="M147" s="123">
        <f t="shared" si="85"/>
        <v>0</v>
      </c>
      <c r="N147" s="123">
        <f t="shared" si="86"/>
        <v>100</v>
      </c>
      <c r="O147" s="123">
        <f t="shared" si="87"/>
        <v>65</v>
      </c>
      <c r="P147" s="123">
        <f t="shared" si="88"/>
        <v>101.11111111111111</v>
      </c>
      <c r="Q147" s="123">
        <f t="shared" si="89"/>
        <v>-2.5</v>
      </c>
      <c r="R147" s="123">
        <f t="shared" si="90"/>
        <v>64.285714285714292</v>
      </c>
      <c r="S147" s="123">
        <f t="shared" si="91"/>
        <v>4.4210551122383394E-3</v>
      </c>
    </row>
    <row r="148" spans="1:19" ht="27" customHeight="1" x14ac:dyDescent="0.2">
      <c r="A148" s="149" t="s">
        <v>479</v>
      </c>
      <c r="B148" s="122" t="s">
        <v>311</v>
      </c>
      <c r="C148" s="162">
        <v>14</v>
      </c>
      <c r="D148" s="122" t="s">
        <v>482</v>
      </c>
      <c r="E148" s="141"/>
      <c r="F148" s="141"/>
      <c r="G148" s="123">
        <f>SUM(G151+G149)</f>
        <v>13.3</v>
      </c>
      <c r="H148" s="123">
        <f>SUM(H151+H149)</f>
        <v>13.3</v>
      </c>
      <c r="I148" s="124">
        <f>SUM(I151+I149)</f>
        <v>13.299999999999999</v>
      </c>
      <c r="J148" s="124">
        <f>SUM(J151+J149)</f>
        <v>13.299999999999999</v>
      </c>
      <c r="K148" s="123">
        <f t="shared" si="84"/>
        <v>0</v>
      </c>
      <c r="L148" s="118">
        <f t="shared" si="79"/>
        <v>99.999999999999986</v>
      </c>
      <c r="M148" s="123">
        <f t="shared" si="85"/>
        <v>0</v>
      </c>
      <c r="N148" s="123">
        <f t="shared" si="86"/>
        <v>100</v>
      </c>
      <c r="O148" s="123">
        <f t="shared" si="87"/>
        <v>99.999999999999986</v>
      </c>
      <c r="P148" s="123">
        <f t="shared" si="88"/>
        <v>99.999999999999986</v>
      </c>
      <c r="Q148" s="123">
        <f t="shared" si="89"/>
        <v>0</v>
      </c>
      <c r="R148" s="123">
        <f t="shared" si="90"/>
        <v>100</v>
      </c>
      <c r="S148" s="123">
        <f t="shared" si="91"/>
        <v>1.2923084174235145E-2</v>
      </c>
    </row>
    <row r="149" spans="1:19" ht="77.45" customHeight="1" x14ac:dyDescent="0.2">
      <c r="A149" s="125" t="s">
        <v>396</v>
      </c>
      <c r="B149" s="122" t="s">
        <v>311</v>
      </c>
      <c r="C149" s="162">
        <v>14</v>
      </c>
      <c r="D149" s="122" t="s">
        <v>482</v>
      </c>
      <c r="E149" s="122" t="s">
        <v>397</v>
      </c>
      <c r="F149" s="122"/>
      <c r="G149" s="127">
        <f>SUM(G150)</f>
        <v>10.3</v>
      </c>
      <c r="H149" s="127">
        <f>SUM(H150)</f>
        <v>11.4</v>
      </c>
      <c r="I149" s="124">
        <f>SUM(I150)</f>
        <v>11.35</v>
      </c>
      <c r="J149" s="124">
        <f>SUM(J150)</f>
        <v>11.35</v>
      </c>
      <c r="K149" s="123">
        <f t="shared" si="84"/>
        <v>-5.0000000000000711E-2</v>
      </c>
      <c r="L149" s="118">
        <f t="shared" si="79"/>
        <v>99.561403508771932</v>
      </c>
      <c r="M149" s="123">
        <f t="shared" si="85"/>
        <v>0</v>
      </c>
      <c r="N149" s="123">
        <f t="shared" si="86"/>
        <v>100</v>
      </c>
      <c r="O149" s="123">
        <f t="shared" si="87"/>
        <v>110.19417475728154</v>
      </c>
      <c r="P149" s="123">
        <f t="shared" si="88"/>
        <v>99.561403508771932</v>
      </c>
      <c r="Q149" s="123">
        <f t="shared" si="89"/>
        <v>1.0999999999999996</v>
      </c>
      <c r="R149" s="123">
        <f t="shared" si="90"/>
        <v>110.67961165048543</v>
      </c>
      <c r="S149" s="123">
        <f t="shared" si="91"/>
        <v>1.1028346268990144E-2</v>
      </c>
    </row>
    <row r="150" spans="1:19" ht="34.5" customHeight="1" x14ac:dyDescent="0.2">
      <c r="A150" s="125" t="s">
        <v>398</v>
      </c>
      <c r="B150" s="122" t="s">
        <v>311</v>
      </c>
      <c r="C150" s="162">
        <v>14</v>
      </c>
      <c r="D150" s="122" t="s">
        <v>482</v>
      </c>
      <c r="E150" s="122" t="s">
        <v>481</v>
      </c>
      <c r="F150" s="122" t="s">
        <v>415</v>
      </c>
      <c r="G150" s="127">
        <v>10.3</v>
      </c>
      <c r="H150" s="127">
        <v>11.4</v>
      </c>
      <c r="I150" s="124">
        <v>11.35</v>
      </c>
      <c r="J150" s="124">
        <v>11.35</v>
      </c>
      <c r="K150" s="123">
        <f t="shared" si="84"/>
        <v>-5.0000000000000711E-2</v>
      </c>
      <c r="L150" s="118">
        <f t="shared" si="79"/>
        <v>99.561403508771932</v>
      </c>
      <c r="M150" s="123">
        <f t="shared" si="85"/>
        <v>0</v>
      </c>
      <c r="N150" s="123">
        <f t="shared" si="86"/>
        <v>100</v>
      </c>
      <c r="O150" s="123">
        <f t="shared" si="87"/>
        <v>110.19417475728154</v>
      </c>
      <c r="P150" s="123">
        <f t="shared" si="88"/>
        <v>99.561403508771932</v>
      </c>
      <c r="Q150" s="123">
        <f t="shared" si="89"/>
        <v>1.0999999999999996</v>
      </c>
      <c r="R150" s="123">
        <f t="shared" si="90"/>
        <v>110.67961165048543</v>
      </c>
      <c r="S150" s="123">
        <f t="shared" si="91"/>
        <v>1.1028346268990144E-2</v>
      </c>
    </row>
    <row r="151" spans="1:19" ht="42.75" customHeight="1" x14ac:dyDescent="0.2">
      <c r="A151" s="125" t="s">
        <v>416</v>
      </c>
      <c r="B151" s="122" t="s">
        <v>311</v>
      </c>
      <c r="C151" s="162">
        <v>14</v>
      </c>
      <c r="D151" s="122" t="s">
        <v>482</v>
      </c>
      <c r="E151" s="141">
        <v>200</v>
      </c>
      <c r="F151" s="141"/>
      <c r="G151" s="141">
        <f>SUM(G152)</f>
        <v>3</v>
      </c>
      <c r="H151" s="141">
        <f>SUM(H152)</f>
        <v>1.9</v>
      </c>
      <c r="I151" s="124">
        <f>SUM(I152)</f>
        <v>1.95</v>
      </c>
      <c r="J151" s="124">
        <f>SUM(J152)</f>
        <v>1.95</v>
      </c>
      <c r="K151" s="123">
        <f t="shared" si="84"/>
        <v>5.0000000000000044E-2</v>
      </c>
      <c r="L151" s="118">
        <f t="shared" si="79"/>
        <v>102.63157894736842</v>
      </c>
      <c r="M151" s="123">
        <f t="shared" si="85"/>
        <v>0</v>
      </c>
      <c r="N151" s="123">
        <f t="shared" si="86"/>
        <v>100</v>
      </c>
      <c r="O151" s="123">
        <f t="shared" si="87"/>
        <v>65</v>
      </c>
      <c r="P151" s="123">
        <f t="shared" si="88"/>
        <v>102.63157894736842</v>
      </c>
      <c r="Q151" s="123">
        <f t="shared" si="89"/>
        <v>-1.1000000000000001</v>
      </c>
      <c r="R151" s="123">
        <f t="shared" si="90"/>
        <v>63.333333333333329</v>
      </c>
      <c r="S151" s="123">
        <f t="shared" si="91"/>
        <v>1.8947379052450025E-3</v>
      </c>
    </row>
    <row r="152" spans="1:19" ht="36.75" customHeight="1" x14ac:dyDescent="0.2">
      <c r="A152" s="125" t="s">
        <v>418</v>
      </c>
      <c r="B152" s="122" t="s">
        <v>311</v>
      </c>
      <c r="C152" s="162">
        <v>14</v>
      </c>
      <c r="D152" s="122" t="s">
        <v>482</v>
      </c>
      <c r="E152" s="141">
        <v>244</v>
      </c>
      <c r="F152" s="141">
        <v>227</v>
      </c>
      <c r="G152" s="141">
        <v>3</v>
      </c>
      <c r="H152" s="141">
        <v>1.9</v>
      </c>
      <c r="I152" s="124">
        <v>1.95</v>
      </c>
      <c r="J152" s="124">
        <v>1.95</v>
      </c>
      <c r="K152" s="123">
        <f t="shared" si="84"/>
        <v>5.0000000000000044E-2</v>
      </c>
      <c r="L152" s="118">
        <f t="shared" si="79"/>
        <v>102.63157894736842</v>
      </c>
      <c r="M152" s="123">
        <f t="shared" si="85"/>
        <v>0</v>
      </c>
      <c r="N152" s="123">
        <f t="shared" si="86"/>
        <v>100</v>
      </c>
      <c r="O152" s="123">
        <f t="shared" si="87"/>
        <v>65</v>
      </c>
      <c r="P152" s="123">
        <f t="shared" si="88"/>
        <v>102.63157894736842</v>
      </c>
      <c r="Q152" s="123">
        <f t="shared" si="89"/>
        <v>-1.1000000000000001</v>
      </c>
      <c r="R152" s="123">
        <f t="shared" si="90"/>
        <v>63.333333333333329</v>
      </c>
      <c r="S152" s="123">
        <f t="shared" si="91"/>
        <v>1.8947379052450025E-3</v>
      </c>
    </row>
    <row r="153" spans="1:19" s="119" customFormat="1" ht="19.5" customHeight="1" x14ac:dyDescent="0.2">
      <c r="A153" s="120" t="s">
        <v>342</v>
      </c>
      <c r="B153" s="115" t="s">
        <v>319</v>
      </c>
      <c r="C153" s="115"/>
      <c r="D153" s="115"/>
      <c r="E153" s="115"/>
      <c r="F153" s="115"/>
      <c r="G153" s="116">
        <f>G154+G169+G175+G163+G189</f>
        <v>14341.800000000001</v>
      </c>
      <c r="H153" s="116">
        <f>H154+H169+H175+H163</f>
        <v>18388.000000000004</v>
      </c>
      <c r="I153" s="117">
        <f>I154+I169+I175+I163</f>
        <v>18388.064709999999</v>
      </c>
      <c r="J153" s="117">
        <f>J154+J169+J175+J163</f>
        <v>17637.023509999999</v>
      </c>
      <c r="K153" s="116">
        <f t="shared" si="84"/>
        <v>6.4709999995102407E-2</v>
      </c>
      <c r="L153" s="116">
        <f t="shared" si="79"/>
        <v>100.00035191429191</v>
      </c>
      <c r="M153" s="116">
        <f t="shared" si="85"/>
        <v>-751.04119999999966</v>
      </c>
      <c r="N153" s="116">
        <f t="shared" si="86"/>
        <v>95.91560497613672</v>
      </c>
      <c r="O153" s="116">
        <f t="shared" si="87"/>
        <v>122.97635938306209</v>
      </c>
      <c r="P153" s="116">
        <f t="shared" si="88"/>
        <v>95.915942516858792</v>
      </c>
      <c r="Q153" s="116">
        <f t="shared" si="89"/>
        <v>4046.2000000000025</v>
      </c>
      <c r="R153" s="116">
        <f t="shared" si="90"/>
        <v>128.2126371864062</v>
      </c>
      <c r="S153" s="116">
        <f t="shared" si="91"/>
        <v>17.137198451330391</v>
      </c>
    </row>
    <row r="154" spans="1:19" s="119" customFormat="1" ht="19.5" customHeight="1" x14ac:dyDescent="0.2">
      <c r="A154" s="153" t="s">
        <v>343</v>
      </c>
      <c r="B154" s="164">
        <v>4</v>
      </c>
      <c r="C154" s="165">
        <v>1</v>
      </c>
      <c r="D154" s="166"/>
      <c r="E154" s="167"/>
      <c r="F154" s="167"/>
      <c r="G154" s="116">
        <f t="shared" ref="G154:J155" si="92">G155</f>
        <v>1052.0999999999999</v>
      </c>
      <c r="H154" s="116">
        <f t="shared" si="92"/>
        <v>3319.1</v>
      </c>
      <c r="I154" s="117">
        <f t="shared" si="92"/>
        <v>3319.1759400000001</v>
      </c>
      <c r="J154" s="117">
        <f t="shared" si="92"/>
        <v>3319.1754799999999</v>
      </c>
      <c r="K154" s="116">
        <f t="shared" si="84"/>
        <v>7.5940000000173313E-2</v>
      </c>
      <c r="L154" s="116">
        <f t="shared" si="79"/>
        <v>100.00228796963033</v>
      </c>
      <c r="M154" s="116">
        <f t="shared" si="85"/>
        <v>-4.600000002028537E-4</v>
      </c>
      <c r="N154" s="116">
        <f t="shared" si="86"/>
        <v>99.999986141138379</v>
      </c>
      <c r="O154" s="116">
        <f t="shared" si="87"/>
        <v>315.48098849919211</v>
      </c>
      <c r="P154" s="116">
        <f t="shared" si="88"/>
        <v>100.00227411045162</v>
      </c>
      <c r="Q154" s="116">
        <f t="shared" si="89"/>
        <v>2267</v>
      </c>
      <c r="R154" s="116">
        <f t="shared" si="90"/>
        <v>315.47381427620951</v>
      </c>
      <c r="S154" s="116">
        <f t="shared" si="91"/>
        <v>3.2251115877516798</v>
      </c>
    </row>
    <row r="155" spans="1:19" ht="26.25" customHeight="1" x14ac:dyDescent="0.2">
      <c r="A155" s="168" t="s">
        <v>390</v>
      </c>
      <c r="B155" s="132">
        <v>4</v>
      </c>
      <c r="C155" s="133">
        <v>1</v>
      </c>
      <c r="D155" s="169">
        <v>4000000000</v>
      </c>
      <c r="E155" s="170"/>
      <c r="F155" s="170"/>
      <c r="G155" s="123">
        <f t="shared" si="92"/>
        <v>1052.0999999999999</v>
      </c>
      <c r="H155" s="123">
        <f t="shared" si="92"/>
        <v>3319.1</v>
      </c>
      <c r="I155" s="124">
        <f t="shared" si="92"/>
        <v>3319.1759400000001</v>
      </c>
      <c r="J155" s="124">
        <f t="shared" si="92"/>
        <v>3319.1754799999999</v>
      </c>
      <c r="K155" s="123">
        <f t="shared" si="84"/>
        <v>7.5940000000173313E-2</v>
      </c>
      <c r="L155" s="118">
        <f t="shared" si="79"/>
        <v>100.00228796963033</v>
      </c>
      <c r="M155" s="123">
        <f t="shared" si="85"/>
        <v>-4.600000002028537E-4</v>
      </c>
      <c r="N155" s="123">
        <f t="shared" si="86"/>
        <v>99.999986141138379</v>
      </c>
      <c r="O155" s="123">
        <f t="shared" si="87"/>
        <v>315.48098849919211</v>
      </c>
      <c r="P155" s="123">
        <f t="shared" si="88"/>
        <v>100.00227411045162</v>
      </c>
      <c r="Q155" s="123">
        <f t="shared" si="89"/>
        <v>2267</v>
      </c>
      <c r="R155" s="123">
        <f t="shared" si="90"/>
        <v>315.47381427620951</v>
      </c>
      <c r="S155" s="123">
        <f t="shared" si="91"/>
        <v>3.2251115877516798</v>
      </c>
    </row>
    <row r="156" spans="1:19" ht="42.6" customHeight="1" x14ac:dyDescent="0.2">
      <c r="A156" s="131" t="s">
        <v>483</v>
      </c>
      <c r="B156" s="132">
        <v>4</v>
      </c>
      <c r="C156" s="133">
        <v>1</v>
      </c>
      <c r="D156" s="169">
        <v>4030000000</v>
      </c>
      <c r="E156" s="170"/>
      <c r="F156" s="170"/>
      <c r="G156" s="123">
        <f>G157+G160</f>
        <v>1052.0999999999999</v>
      </c>
      <c r="H156" s="123">
        <f>H157+H160</f>
        <v>3319.1</v>
      </c>
      <c r="I156" s="123">
        <f>I157+I160</f>
        <v>3319.1759400000001</v>
      </c>
      <c r="J156" s="123">
        <f>J157+J160</f>
        <v>3319.1754799999999</v>
      </c>
      <c r="K156" s="123">
        <f t="shared" si="84"/>
        <v>7.5940000000173313E-2</v>
      </c>
      <c r="L156" s="118">
        <f t="shared" si="79"/>
        <v>100.00228796963033</v>
      </c>
      <c r="M156" s="123">
        <f t="shared" si="85"/>
        <v>-4.600000002028537E-4</v>
      </c>
      <c r="N156" s="123">
        <f t="shared" si="86"/>
        <v>99.999986141138379</v>
      </c>
      <c r="O156" s="123">
        <f t="shared" si="87"/>
        <v>315.48098849919211</v>
      </c>
      <c r="P156" s="123">
        <f t="shared" si="88"/>
        <v>100.00227411045162</v>
      </c>
      <c r="Q156" s="123">
        <f t="shared" si="89"/>
        <v>2267</v>
      </c>
      <c r="R156" s="123">
        <f t="shared" si="90"/>
        <v>315.47381427620951</v>
      </c>
      <c r="S156" s="123">
        <f t="shared" si="91"/>
        <v>3.2251115877516798</v>
      </c>
    </row>
    <row r="157" spans="1:19" ht="30" customHeight="1" x14ac:dyDescent="0.2">
      <c r="A157" s="142" t="s">
        <v>484</v>
      </c>
      <c r="B157" s="132">
        <v>4</v>
      </c>
      <c r="C157" s="133">
        <v>1</v>
      </c>
      <c r="D157" s="169">
        <v>4030089191</v>
      </c>
      <c r="E157" s="170"/>
      <c r="F157" s="170"/>
      <c r="G157" s="123">
        <f t="shared" ref="G157:J158" si="93">SUM(G158)</f>
        <v>1052.0999999999999</v>
      </c>
      <c r="H157" s="123">
        <f t="shared" si="93"/>
        <v>1929</v>
      </c>
      <c r="I157" s="123">
        <f t="shared" si="93"/>
        <v>1929.0164600000001</v>
      </c>
      <c r="J157" s="123">
        <f t="shared" si="93"/>
        <v>1929.0160000000001</v>
      </c>
      <c r="K157" s="123">
        <f t="shared" si="84"/>
        <v>1.6460000000051878E-2</v>
      </c>
      <c r="L157" s="118">
        <f t="shared" si="79"/>
        <v>100.00085329186108</v>
      </c>
      <c r="M157" s="123">
        <f t="shared" si="85"/>
        <v>-4.5999999997548002E-4</v>
      </c>
      <c r="N157" s="123">
        <f t="shared" si="86"/>
        <v>99.999976153650863</v>
      </c>
      <c r="O157" s="123">
        <f t="shared" si="87"/>
        <v>183.34911130120713</v>
      </c>
      <c r="P157" s="123">
        <f t="shared" si="88"/>
        <v>100.00082944530845</v>
      </c>
      <c r="Q157" s="123">
        <f t="shared" si="89"/>
        <v>876.90000000000009</v>
      </c>
      <c r="R157" s="123">
        <f t="shared" si="90"/>
        <v>183.34759053321929</v>
      </c>
      <c r="S157" s="123">
        <f t="shared" si="91"/>
        <v>1.8743485820636379</v>
      </c>
    </row>
    <row r="158" spans="1:19" ht="39.75" customHeight="1" x14ac:dyDescent="0.2">
      <c r="A158" s="125" t="s">
        <v>485</v>
      </c>
      <c r="B158" s="132">
        <v>4</v>
      </c>
      <c r="C158" s="133">
        <v>1</v>
      </c>
      <c r="D158" s="169">
        <v>4030089191</v>
      </c>
      <c r="E158" s="171">
        <v>600</v>
      </c>
      <c r="F158" s="171"/>
      <c r="G158" s="123">
        <f t="shared" si="93"/>
        <v>1052.0999999999999</v>
      </c>
      <c r="H158" s="123">
        <f t="shared" si="93"/>
        <v>1929</v>
      </c>
      <c r="I158" s="123">
        <f t="shared" si="93"/>
        <v>1929.0164600000001</v>
      </c>
      <c r="J158" s="123">
        <f t="shared" si="93"/>
        <v>1929.0160000000001</v>
      </c>
      <c r="K158" s="123">
        <f t="shared" si="84"/>
        <v>1.6460000000051878E-2</v>
      </c>
      <c r="L158" s="118">
        <f t="shared" si="79"/>
        <v>100.00085329186108</v>
      </c>
      <c r="M158" s="123">
        <f t="shared" si="85"/>
        <v>-4.5999999997548002E-4</v>
      </c>
      <c r="N158" s="123">
        <f t="shared" si="86"/>
        <v>99.999976153650863</v>
      </c>
      <c r="O158" s="123">
        <f t="shared" si="87"/>
        <v>183.34911130120713</v>
      </c>
      <c r="P158" s="123">
        <f t="shared" si="88"/>
        <v>100.00082944530845</v>
      </c>
      <c r="Q158" s="123">
        <f t="shared" si="89"/>
        <v>876.90000000000009</v>
      </c>
      <c r="R158" s="123">
        <f t="shared" si="90"/>
        <v>183.34759053321929</v>
      </c>
      <c r="S158" s="123">
        <f t="shared" si="91"/>
        <v>1.8743485820636379</v>
      </c>
    </row>
    <row r="159" spans="1:19" ht="21" customHeight="1" x14ac:dyDescent="0.2">
      <c r="A159" s="142" t="s">
        <v>486</v>
      </c>
      <c r="B159" s="132">
        <v>4</v>
      </c>
      <c r="C159" s="133">
        <v>1</v>
      </c>
      <c r="D159" s="169">
        <v>4030089191</v>
      </c>
      <c r="E159" s="171">
        <v>612</v>
      </c>
      <c r="F159" s="171">
        <v>241</v>
      </c>
      <c r="G159" s="123">
        <v>1052.0999999999999</v>
      </c>
      <c r="H159" s="123">
        <v>1929</v>
      </c>
      <c r="I159" s="123">
        <v>1929.0164600000001</v>
      </c>
      <c r="J159" s="123">
        <v>1929.0160000000001</v>
      </c>
      <c r="K159" s="123">
        <f t="shared" si="84"/>
        <v>1.6460000000051878E-2</v>
      </c>
      <c r="L159" s="118">
        <f t="shared" si="79"/>
        <v>100.00085329186108</v>
      </c>
      <c r="M159" s="123">
        <f t="shared" si="85"/>
        <v>-4.5999999997548002E-4</v>
      </c>
      <c r="N159" s="123">
        <f t="shared" si="86"/>
        <v>99.999976153650863</v>
      </c>
      <c r="O159" s="123">
        <f t="shared" si="87"/>
        <v>183.34911130120713</v>
      </c>
      <c r="P159" s="123">
        <f t="shared" si="88"/>
        <v>100.00082944530845</v>
      </c>
      <c r="Q159" s="123">
        <f t="shared" si="89"/>
        <v>876.90000000000009</v>
      </c>
      <c r="R159" s="123">
        <f t="shared" si="90"/>
        <v>183.34759053321929</v>
      </c>
      <c r="S159" s="123">
        <f t="shared" si="91"/>
        <v>1.8743485820636379</v>
      </c>
    </row>
    <row r="160" spans="1:19" ht="51" customHeight="1" x14ac:dyDescent="0.2">
      <c r="A160" s="142" t="s">
        <v>487</v>
      </c>
      <c r="B160" s="132">
        <v>4</v>
      </c>
      <c r="C160" s="133">
        <v>1</v>
      </c>
      <c r="D160" s="169">
        <v>4030185060</v>
      </c>
      <c r="E160" s="171"/>
      <c r="F160" s="171"/>
      <c r="G160" s="123">
        <f t="shared" ref="G160:J161" si="94">SUM(G161)</f>
        <v>0</v>
      </c>
      <c r="H160" s="123">
        <f t="shared" si="94"/>
        <v>1390.1</v>
      </c>
      <c r="I160" s="123">
        <f t="shared" si="94"/>
        <v>1390.15948</v>
      </c>
      <c r="J160" s="123">
        <f t="shared" si="94"/>
        <v>1390.15948</v>
      </c>
      <c r="K160" s="123">
        <f t="shared" si="84"/>
        <v>5.9480000000121436E-2</v>
      </c>
      <c r="L160" s="118">
        <f t="shared" si="79"/>
        <v>100.00427882886125</v>
      </c>
      <c r="M160" s="123">
        <f t="shared" si="85"/>
        <v>0</v>
      </c>
      <c r="N160" s="123">
        <f t="shared" si="86"/>
        <v>100</v>
      </c>
      <c r="O160" s="123"/>
      <c r="P160" s="123">
        <f t="shared" si="88"/>
        <v>100.00427882886125</v>
      </c>
      <c r="Q160" s="123">
        <f t="shared" si="89"/>
        <v>1390.1</v>
      </c>
      <c r="R160" s="123"/>
      <c r="S160" s="123">
        <f t="shared" si="91"/>
        <v>1.3507630056880422</v>
      </c>
    </row>
    <row r="161" spans="1:19" ht="39.75" customHeight="1" x14ac:dyDescent="0.2">
      <c r="A161" s="125" t="s">
        <v>485</v>
      </c>
      <c r="B161" s="132">
        <v>4</v>
      </c>
      <c r="C161" s="133">
        <v>1</v>
      </c>
      <c r="D161" s="169">
        <v>4030185060</v>
      </c>
      <c r="E161" s="171">
        <v>600</v>
      </c>
      <c r="F161" s="171"/>
      <c r="G161" s="123">
        <f t="shared" si="94"/>
        <v>0</v>
      </c>
      <c r="H161" s="123">
        <f t="shared" si="94"/>
        <v>1390.1</v>
      </c>
      <c r="I161" s="123">
        <f t="shared" si="94"/>
        <v>1390.15948</v>
      </c>
      <c r="J161" s="123">
        <f t="shared" si="94"/>
        <v>1390.15948</v>
      </c>
      <c r="K161" s="123">
        <f t="shared" si="84"/>
        <v>5.9480000000121436E-2</v>
      </c>
      <c r="L161" s="118">
        <f t="shared" si="79"/>
        <v>100.00427882886125</v>
      </c>
      <c r="M161" s="123">
        <f t="shared" si="85"/>
        <v>0</v>
      </c>
      <c r="N161" s="123">
        <f t="shared" si="86"/>
        <v>100</v>
      </c>
      <c r="O161" s="123"/>
      <c r="P161" s="123">
        <f t="shared" si="88"/>
        <v>100.00427882886125</v>
      </c>
      <c r="Q161" s="123">
        <f t="shared" si="89"/>
        <v>1390.1</v>
      </c>
      <c r="R161" s="123"/>
      <c r="S161" s="123">
        <f t="shared" si="91"/>
        <v>1.3507630056880422</v>
      </c>
    </row>
    <row r="162" spans="1:19" ht="18.75" customHeight="1" x14ac:dyDescent="0.2">
      <c r="A162" s="142" t="s">
        <v>486</v>
      </c>
      <c r="B162" s="132">
        <v>4</v>
      </c>
      <c r="C162" s="133">
        <v>1</v>
      </c>
      <c r="D162" s="169">
        <v>4030185060</v>
      </c>
      <c r="E162" s="171">
        <v>612</v>
      </c>
      <c r="F162" s="171">
        <v>241</v>
      </c>
      <c r="G162" s="123"/>
      <c r="H162" s="123">
        <v>1390.1</v>
      </c>
      <c r="I162" s="123">
        <v>1390.15948</v>
      </c>
      <c r="J162" s="123">
        <v>1390.15948</v>
      </c>
      <c r="K162" s="123">
        <f t="shared" si="84"/>
        <v>5.9480000000121436E-2</v>
      </c>
      <c r="L162" s="118">
        <f t="shared" si="79"/>
        <v>100.00427882886125</v>
      </c>
      <c r="M162" s="123">
        <f t="shared" si="85"/>
        <v>0</v>
      </c>
      <c r="N162" s="123">
        <f t="shared" si="86"/>
        <v>100</v>
      </c>
      <c r="O162" s="123"/>
      <c r="P162" s="123">
        <f t="shared" si="88"/>
        <v>100.00427882886125</v>
      </c>
      <c r="Q162" s="123">
        <f t="shared" si="89"/>
        <v>1390.1</v>
      </c>
      <c r="R162" s="123"/>
      <c r="S162" s="123">
        <f t="shared" si="91"/>
        <v>1.3507630056880422</v>
      </c>
    </row>
    <row r="163" spans="1:19" s="119" customFormat="1" ht="32.25" customHeight="1" x14ac:dyDescent="0.2">
      <c r="A163" s="172" t="s">
        <v>345</v>
      </c>
      <c r="B163" s="164">
        <v>4</v>
      </c>
      <c r="C163" s="165">
        <v>5</v>
      </c>
      <c r="D163" s="166"/>
      <c r="E163" s="167"/>
      <c r="F163" s="167"/>
      <c r="G163" s="116">
        <f t="shared" ref="G163:J167" si="95">SUM(G164)</f>
        <v>0</v>
      </c>
      <c r="H163" s="116">
        <f t="shared" si="95"/>
        <v>299.2</v>
      </c>
      <c r="I163" s="116">
        <f t="shared" si="95"/>
        <v>299.19979999999998</v>
      </c>
      <c r="J163" s="116">
        <f t="shared" si="95"/>
        <v>299.19983999999999</v>
      </c>
      <c r="K163" s="116">
        <f t="shared" si="84"/>
        <v>-2.0000000000663931E-4</v>
      </c>
      <c r="L163" s="116">
        <f t="shared" si="79"/>
        <v>99.999933155080214</v>
      </c>
      <c r="M163" s="116">
        <f t="shared" si="85"/>
        <v>4.0000000012696546E-5</v>
      </c>
      <c r="N163" s="116">
        <f t="shared" si="86"/>
        <v>100.0000133689929</v>
      </c>
      <c r="O163" s="116"/>
      <c r="P163" s="116">
        <f t="shared" si="88"/>
        <v>99.999946524064171</v>
      </c>
      <c r="Q163" s="116">
        <f t="shared" si="89"/>
        <v>299.2</v>
      </c>
      <c r="R163" s="116"/>
      <c r="S163" s="116">
        <f t="shared" si="91"/>
        <v>0.29072065543140507</v>
      </c>
    </row>
    <row r="164" spans="1:19" ht="24.75" customHeight="1" x14ac:dyDescent="0.2">
      <c r="A164" s="168" t="s">
        <v>390</v>
      </c>
      <c r="B164" s="136">
        <v>4</v>
      </c>
      <c r="C164" s="137">
        <v>5</v>
      </c>
      <c r="D164" s="169">
        <v>4000000000</v>
      </c>
      <c r="E164" s="171"/>
      <c r="F164" s="171"/>
      <c r="G164" s="123">
        <f t="shared" si="95"/>
        <v>0</v>
      </c>
      <c r="H164" s="123">
        <f t="shared" si="95"/>
        <v>299.2</v>
      </c>
      <c r="I164" s="123">
        <f t="shared" si="95"/>
        <v>299.19979999999998</v>
      </c>
      <c r="J164" s="123">
        <f t="shared" si="95"/>
        <v>299.19983999999999</v>
      </c>
      <c r="K164" s="123">
        <f t="shared" si="84"/>
        <v>-2.0000000000663931E-4</v>
      </c>
      <c r="L164" s="118">
        <f t="shared" si="79"/>
        <v>99.999933155080214</v>
      </c>
      <c r="M164" s="123">
        <f t="shared" si="85"/>
        <v>4.0000000012696546E-5</v>
      </c>
      <c r="N164" s="123">
        <f t="shared" si="86"/>
        <v>100.0000133689929</v>
      </c>
      <c r="O164" s="123"/>
      <c r="P164" s="123">
        <f t="shared" si="88"/>
        <v>99.999946524064171</v>
      </c>
      <c r="Q164" s="123">
        <f t="shared" si="89"/>
        <v>299.2</v>
      </c>
      <c r="R164" s="123"/>
      <c r="S164" s="123">
        <f t="shared" si="91"/>
        <v>0.29072065543140507</v>
      </c>
    </row>
    <row r="165" spans="1:19" ht="39" customHeight="1" x14ac:dyDescent="0.2">
      <c r="A165" s="86" t="s">
        <v>483</v>
      </c>
      <c r="B165" s="136">
        <v>4</v>
      </c>
      <c r="C165" s="137">
        <v>5</v>
      </c>
      <c r="D165" s="169">
        <v>4030000000</v>
      </c>
      <c r="E165" s="171"/>
      <c r="F165" s="171"/>
      <c r="G165" s="123">
        <f t="shared" si="95"/>
        <v>0</v>
      </c>
      <c r="H165" s="123">
        <f t="shared" si="95"/>
        <v>299.2</v>
      </c>
      <c r="I165" s="123">
        <f t="shared" si="95"/>
        <v>299.19979999999998</v>
      </c>
      <c r="J165" s="123">
        <f t="shared" si="95"/>
        <v>299.19983999999999</v>
      </c>
      <c r="K165" s="123">
        <f t="shared" si="84"/>
        <v>-2.0000000000663931E-4</v>
      </c>
      <c r="L165" s="118">
        <f t="shared" si="79"/>
        <v>99.999933155080214</v>
      </c>
      <c r="M165" s="123">
        <f t="shared" si="85"/>
        <v>4.0000000012696546E-5</v>
      </c>
      <c r="N165" s="123">
        <f t="shared" si="86"/>
        <v>100.0000133689929</v>
      </c>
      <c r="O165" s="123"/>
      <c r="P165" s="123">
        <f t="shared" si="88"/>
        <v>99.999946524064171</v>
      </c>
      <c r="Q165" s="123">
        <f t="shared" si="89"/>
        <v>299.2</v>
      </c>
      <c r="R165" s="123"/>
      <c r="S165" s="123">
        <f t="shared" si="91"/>
        <v>0.29072065543140507</v>
      </c>
    </row>
    <row r="166" spans="1:19" ht="42" customHeight="1" x14ac:dyDescent="0.2">
      <c r="A166" s="86" t="s">
        <v>488</v>
      </c>
      <c r="B166" s="136">
        <v>4</v>
      </c>
      <c r="C166" s="137">
        <v>5</v>
      </c>
      <c r="D166" s="138">
        <v>4030084200</v>
      </c>
      <c r="E166" s="139"/>
      <c r="F166" s="139"/>
      <c r="G166" s="123">
        <f t="shared" si="95"/>
        <v>0</v>
      </c>
      <c r="H166" s="123">
        <f t="shared" si="95"/>
        <v>299.2</v>
      </c>
      <c r="I166" s="123">
        <f t="shared" si="95"/>
        <v>299.19979999999998</v>
      </c>
      <c r="J166" s="123">
        <f t="shared" si="95"/>
        <v>299.19983999999999</v>
      </c>
      <c r="K166" s="123">
        <f t="shared" si="84"/>
        <v>-2.0000000000663931E-4</v>
      </c>
      <c r="L166" s="118">
        <f t="shared" si="79"/>
        <v>99.999933155080214</v>
      </c>
      <c r="M166" s="123">
        <f t="shared" si="85"/>
        <v>4.0000000012696546E-5</v>
      </c>
      <c r="N166" s="123">
        <f t="shared" si="86"/>
        <v>100.0000133689929</v>
      </c>
      <c r="O166" s="123"/>
      <c r="P166" s="123">
        <f t="shared" si="88"/>
        <v>99.999946524064171</v>
      </c>
      <c r="Q166" s="123">
        <f t="shared" si="89"/>
        <v>299.2</v>
      </c>
      <c r="R166" s="123"/>
      <c r="S166" s="123">
        <f t="shared" si="91"/>
        <v>0.29072065543140507</v>
      </c>
    </row>
    <row r="167" spans="1:19" ht="39.75" customHeight="1" x14ac:dyDescent="0.2">
      <c r="A167" s="86" t="s">
        <v>416</v>
      </c>
      <c r="B167" s="136">
        <v>4</v>
      </c>
      <c r="C167" s="137">
        <v>5</v>
      </c>
      <c r="D167" s="138">
        <v>4030084200</v>
      </c>
      <c r="E167" s="139">
        <v>200</v>
      </c>
      <c r="F167" s="139"/>
      <c r="G167" s="123">
        <f t="shared" si="95"/>
        <v>0</v>
      </c>
      <c r="H167" s="123">
        <f t="shared" si="95"/>
        <v>299.2</v>
      </c>
      <c r="I167" s="123">
        <f t="shared" si="95"/>
        <v>299.19979999999998</v>
      </c>
      <c r="J167" s="123">
        <f t="shared" si="95"/>
        <v>299.19983999999999</v>
      </c>
      <c r="K167" s="123">
        <f t="shared" si="84"/>
        <v>-2.0000000000663931E-4</v>
      </c>
      <c r="L167" s="118">
        <f t="shared" si="79"/>
        <v>99.999933155080214</v>
      </c>
      <c r="M167" s="123">
        <f t="shared" si="85"/>
        <v>4.0000000012696546E-5</v>
      </c>
      <c r="N167" s="123">
        <f t="shared" si="86"/>
        <v>100.0000133689929</v>
      </c>
      <c r="O167" s="123"/>
      <c r="P167" s="123">
        <f t="shared" si="88"/>
        <v>99.999946524064171</v>
      </c>
      <c r="Q167" s="123">
        <f t="shared" si="89"/>
        <v>299.2</v>
      </c>
      <c r="R167" s="123"/>
      <c r="S167" s="123">
        <f t="shared" si="91"/>
        <v>0.29072065543140507</v>
      </c>
    </row>
    <row r="168" spans="1:19" ht="41.25" customHeight="1" x14ac:dyDescent="0.2">
      <c r="A168" s="86" t="s">
        <v>418</v>
      </c>
      <c r="B168" s="136">
        <v>4</v>
      </c>
      <c r="C168" s="137">
        <v>5</v>
      </c>
      <c r="D168" s="138">
        <v>4030084200</v>
      </c>
      <c r="E168" s="139">
        <v>244</v>
      </c>
      <c r="F168" s="139">
        <v>226</v>
      </c>
      <c r="G168" s="123"/>
      <c r="H168" s="123">
        <v>299.2</v>
      </c>
      <c r="I168" s="123">
        <v>299.19979999999998</v>
      </c>
      <c r="J168" s="123">
        <v>299.19983999999999</v>
      </c>
      <c r="K168" s="123">
        <f t="shared" si="84"/>
        <v>-2.0000000000663931E-4</v>
      </c>
      <c r="L168" s="118">
        <f t="shared" si="79"/>
        <v>99.999933155080214</v>
      </c>
      <c r="M168" s="123">
        <f t="shared" si="85"/>
        <v>4.0000000012696546E-5</v>
      </c>
      <c r="N168" s="123">
        <f t="shared" si="86"/>
        <v>100.0000133689929</v>
      </c>
      <c r="O168" s="123"/>
      <c r="P168" s="123">
        <f t="shared" si="88"/>
        <v>99.999946524064171</v>
      </c>
      <c r="Q168" s="123">
        <f t="shared" si="89"/>
        <v>299.2</v>
      </c>
      <c r="R168" s="123"/>
      <c r="S168" s="123">
        <f t="shared" si="91"/>
        <v>0.29072065543140507</v>
      </c>
    </row>
    <row r="169" spans="1:19" s="119" customFormat="1" ht="24" customHeight="1" x14ac:dyDescent="0.2">
      <c r="A169" s="173" t="s">
        <v>347</v>
      </c>
      <c r="B169" s="115" t="s">
        <v>319</v>
      </c>
      <c r="C169" s="115" t="s">
        <v>348</v>
      </c>
      <c r="D169" s="115"/>
      <c r="E169" s="115"/>
      <c r="F169" s="115"/>
      <c r="G169" s="174">
        <f>G170</f>
        <v>3500</v>
      </c>
      <c r="H169" s="174">
        <f>H170</f>
        <v>3500</v>
      </c>
      <c r="I169" s="174">
        <f>I170</f>
        <v>3500</v>
      </c>
      <c r="J169" s="174">
        <f>J170</f>
        <v>3202.43019</v>
      </c>
      <c r="K169" s="116">
        <f t="shared" si="84"/>
        <v>0</v>
      </c>
      <c r="L169" s="116">
        <f t="shared" si="79"/>
        <v>100</v>
      </c>
      <c r="M169" s="116">
        <f t="shared" si="85"/>
        <v>-297.56980999999996</v>
      </c>
      <c r="N169" s="116">
        <f t="shared" si="86"/>
        <v>91.498005428571432</v>
      </c>
      <c r="O169" s="116">
        <f t="shared" si="87"/>
        <v>91.498005428571432</v>
      </c>
      <c r="P169" s="116">
        <f t="shared" si="88"/>
        <v>91.498005428571432</v>
      </c>
      <c r="Q169" s="116">
        <f t="shared" si="89"/>
        <v>0</v>
      </c>
      <c r="R169" s="116">
        <f t="shared" si="90"/>
        <v>100</v>
      </c>
      <c r="S169" s="116">
        <f t="shared" si="91"/>
        <v>3.1116748050738234</v>
      </c>
    </row>
    <row r="170" spans="1:19" ht="28.5" customHeight="1" x14ac:dyDescent="0.2">
      <c r="A170" s="168" t="s">
        <v>390</v>
      </c>
      <c r="B170" s="151">
        <v>4</v>
      </c>
      <c r="C170" s="152">
        <v>8</v>
      </c>
      <c r="D170" s="134">
        <v>4000000000</v>
      </c>
      <c r="E170" s="135"/>
      <c r="F170" s="135"/>
      <c r="G170" s="175">
        <f t="shared" ref="G170:J171" si="96">SUM(G171)</f>
        <v>3500</v>
      </c>
      <c r="H170" s="175">
        <f t="shared" si="96"/>
        <v>3500</v>
      </c>
      <c r="I170" s="175">
        <f t="shared" si="96"/>
        <v>3500</v>
      </c>
      <c r="J170" s="175">
        <f t="shared" si="96"/>
        <v>3202.43019</v>
      </c>
      <c r="K170" s="123">
        <f t="shared" si="84"/>
        <v>0</v>
      </c>
      <c r="L170" s="118">
        <f t="shared" si="79"/>
        <v>100</v>
      </c>
      <c r="M170" s="123">
        <f t="shared" si="85"/>
        <v>-297.56980999999996</v>
      </c>
      <c r="N170" s="123">
        <f t="shared" si="86"/>
        <v>91.498005428571432</v>
      </c>
      <c r="O170" s="123">
        <f t="shared" si="87"/>
        <v>91.498005428571432</v>
      </c>
      <c r="P170" s="123">
        <f t="shared" si="88"/>
        <v>91.498005428571432</v>
      </c>
      <c r="Q170" s="123">
        <f t="shared" si="89"/>
        <v>0</v>
      </c>
      <c r="R170" s="123">
        <f t="shared" si="90"/>
        <v>100</v>
      </c>
      <c r="S170" s="123">
        <f t="shared" si="91"/>
        <v>3.1116748050738234</v>
      </c>
    </row>
    <row r="171" spans="1:19" ht="40.5" customHeight="1" x14ac:dyDescent="0.2">
      <c r="A171" s="131" t="s">
        <v>483</v>
      </c>
      <c r="B171" s="151">
        <v>4</v>
      </c>
      <c r="C171" s="152">
        <v>8</v>
      </c>
      <c r="D171" s="135">
        <v>4030000000</v>
      </c>
      <c r="E171" s="135"/>
      <c r="F171" s="135"/>
      <c r="G171" s="175">
        <f t="shared" si="96"/>
        <v>3500</v>
      </c>
      <c r="H171" s="175">
        <f t="shared" si="96"/>
        <v>3500</v>
      </c>
      <c r="I171" s="175">
        <f t="shared" si="96"/>
        <v>3500</v>
      </c>
      <c r="J171" s="175">
        <f t="shared" si="96"/>
        <v>3202.43019</v>
      </c>
      <c r="K171" s="123">
        <f t="shared" si="84"/>
        <v>0</v>
      </c>
      <c r="L171" s="118">
        <f t="shared" si="79"/>
        <v>100</v>
      </c>
      <c r="M171" s="123">
        <f t="shared" si="85"/>
        <v>-297.56980999999996</v>
      </c>
      <c r="N171" s="123">
        <f t="shared" si="86"/>
        <v>91.498005428571432</v>
      </c>
      <c r="O171" s="123">
        <f t="shared" si="87"/>
        <v>91.498005428571432</v>
      </c>
      <c r="P171" s="123">
        <f t="shared" si="88"/>
        <v>91.498005428571432</v>
      </c>
      <c r="Q171" s="123">
        <f t="shared" si="89"/>
        <v>0</v>
      </c>
      <c r="R171" s="123">
        <f t="shared" si="90"/>
        <v>100</v>
      </c>
      <c r="S171" s="123">
        <f t="shared" si="91"/>
        <v>3.1116748050738234</v>
      </c>
    </row>
    <row r="172" spans="1:19" ht="23.25" customHeight="1" x14ac:dyDescent="0.2">
      <c r="A172" s="131" t="s">
        <v>471</v>
      </c>
      <c r="B172" s="151">
        <v>4</v>
      </c>
      <c r="C172" s="152">
        <v>8</v>
      </c>
      <c r="D172" s="135">
        <v>4030099990</v>
      </c>
      <c r="E172" s="135"/>
      <c r="F172" s="135"/>
      <c r="G172" s="175">
        <f>G173</f>
        <v>3500</v>
      </c>
      <c r="H172" s="175">
        <f>H173</f>
        <v>3500</v>
      </c>
      <c r="I172" s="175">
        <f>I173</f>
        <v>3500</v>
      </c>
      <c r="J172" s="175">
        <f>J173</f>
        <v>3202.43019</v>
      </c>
      <c r="K172" s="123">
        <f t="shared" si="84"/>
        <v>0</v>
      </c>
      <c r="L172" s="118">
        <f t="shared" si="79"/>
        <v>100</v>
      </c>
      <c r="M172" s="123">
        <f t="shared" si="85"/>
        <v>-297.56980999999996</v>
      </c>
      <c r="N172" s="123">
        <f t="shared" si="86"/>
        <v>91.498005428571432</v>
      </c>
      <c r="O172" s="123">
        <f t="shared" si="87"/>
        <v>91.498005428571432</v>
      </c>
      <c r="P172" s="123">
        <f t="shared" si="88"/>
        <v>91.498005428571432</v>
      </c>
      <c r="Q172" s="123">
        <f t="shared" si="89"/>
        <v>0</v>
      </c>
      <c r="R172" s="123">
        <f t="shared" si="90"/>
        <v>100</v>
      </c>
      <c r="S172" s="123">
        <f t="shared" si="91"/>
        <v>3.1116748050738234</v>
      </c>
    </row>
    <row r="173" spans="1:19" ht="36.6" customHeight="1" x14ac:dyDescent="0.2">
      <c r="A173" s="86" t="s">
        <v>416</v>
      </c>
      <c r="B173" s="151">
        <v>4</v>
      </c>
      <c r="C173" s="152">
        <v>8</v>
      </c>
      <c r="D173" s="135">
        <v>4030099990</v>
      </c>
      <c r="E173" s="135">
        <v>200</v>
      </c>
      <c r="F173" s="135"/>
      <c r="G173" s="175">
        <f>SUM(G174)</f>
        <v>3500</v>
      </c>
      <c r="H173" s="175">
        <f>SUM(H174)</f>
        <v>3500</v>
      </c>
      <c r="I173" s="175">
        <f>SUM(I174)</f>
        <v>3500</v>
      </c>
      <c r="J173" s="175">
        <f>SUM(J174)</f>
        <v>3202.43019</v>
      </c>
      <c r="K173" s="123">
        <f t="shared" si="84"/>
        <v>0</v>
      </c>
      <c r="L173" s="118">
        <f t="shared" si="79"/>
        <v>100</v>
      </c>
      <c r="M173" s="123">
        <f t="shared" si="85"/>
        <v>-297.56980999999996</v>
      </c>
      <c r="N173" s="123">
        <f t="shared" si="86"/>
        <v>91.498005428571432</v>
      </c>
      <c r="O173" s="123">
        <f t="shared" si="87"/>
        <v>91.498005428571432</v>
      </c>
      <c r="P173" s="123">
        <f t="shared" si="88"/>
        <v>91.498005428571432</v>
      </c>
      <c r="Q173" s="123">
        <f t="shared" si="89"/>
        <v>0</v>
      </c>
      <c r="R173" s="123">
        <f t="shared" si="90"/>
        <v>100</v>
      </c>
      <c r="S173" s="123">
        <f t="shared" si="91"/>
        <v>3.1116748050738234</v>
      </c>
    </row>
    <row r="174" spans="1:19" ht="40.15" customHeight="1" x14ac:dyDescent="0.2">
      <c r="A174" s="86" t="s">
        <v>418</v>
      </c>
      <c r="B174" s="151">
        <v>4</v>
      </c>
      <c r="C174" s="152">
        <v>8</v>
      </c>
      <c r="D174" s="135">
        <v>4030099990</v>
      </c>
      <c r="E174" s="135">
        <v>244</v>
      </c>
      <c r="F174" s="135">
        <v>222</v>
      </c>
      <c r="G174" s="175">
        <v>3500</v>
      </c>
      <c r="H174" s="175">
        <v>3500</v>
      </c>
      <c r="I174" s="175">
        <v>3500</v>
      </c>
      <c r="J174" s="175">
        <v>3202.43019</v>
      </c>
      <c r="K174" s="123">
        <f t="shared" si="84"/>
        <v>0</v>
      </c>
      <c r="L174" s="118">
        <f t="shared" si="79"/>
        <v>100</v>
      </c>
      <c r="M174" s="123">
        <f t="shared" si="85"/>
        <v>-297.56980999999996</v>
      </c>
      <c r="N174" s="123">
        <f t="shared" si="86"/>
        <v>91.498005428571432</v>
      </c>
      <c r="O174" s="123">
        <f t="shared" si="87"/>
        <v>91.498005428571432</v>
      </c>
      <c r="P174" s="123">
        <f t="shared" si="88"/>
        <v>91.498005428571432</v>
      </c>
      <c r="Q174" s="123">
        <f t="shared" si="89"/>
        <v>0</v>
      </c>
      <c r="R174" s="123">
        <f t="shared" si="90"/>
        <v>100</v>
      </c>
      <c r="S174" s="123">
        <f t="shared" si="91"/>
        <v>3.1116748050738234</v>
      </c>
    </row>
    <row r="175" spans="1:19" s="119" customFormat="1" ht="33" customHeight="1" x14ac:dyDescent="0.2">
      <c r="A175" s="114" t="s">
        <v>489</v>
      </c>
      <c r="B175" s="115" t="s">
        <v>319</v>
      </c>
      <c r="C175" s="115" t="s">
        <v>337</v>
      </c>
      <c r="D175" s="115"/>
      <c r="E175" s="115"/>
      <c r="F175" s="115"/>
      <c r="G175" s="116">
        <f t="shared" ref="G175:J176" si="97">G176</f>
        <v>9239.7000000000007</v>
      </c>
      <c r="H175" s="116">
        <f t="shared" si="97"/>
        <v>11269.7</v>
      </c>
      <c r="I175" s="116">
        <f t="shared" si="97"/>
        <v>11269.688969999999</v>
      </c>
      <c r="J175" s="116">
        <f t="shared" si="97"/>
        <v>10816.217999999999</v>
      </c>
      <c r="K175" s="116">
        <f t="shared" si="84"/>
        <v>-1.1030000001483131E-2</v>
      </c>
      <c r="L175" s="116">
        <f t="shared" si="79"/>
        <v>99.999902126942146</v>
      </c>
      <c r="M175" s="116">
        <f t="shared" si="85"/>
        <v>-453.47097000000031</v>
      </c>
      <c r="N175" s="116">
        <f t="shared" si="86"/>
        <v>95.976189128137051</v>
      </c>
      <c r="O175" s="116">
        <f t="shared" si="87"/>
        <v>117.06243709211337</v>
      </c>
      <c r="P175" s="116">
        <f t="shared" si="88"/>
        <v>95.976095193305937</v>
      </c>
      <c r="Q175" s="116">
        <f t="shared" si="89"/>
        <v>2030</v>
      </c>
      <c r="R175" s="116">
        <f t="shared" si="90"/>
        <v>121.97041029470654</v>
      </c>
      <c r="S175" s="116">
        <f t="shared" si="91"/>
        <v>10.509691403073482</v>
      </c>
    </row>
    <row r="176" spans="1:19" ht="26.25" customHeight="1" x14ac:dyDescent="0.2">
      <c r="A176" s="121" t="s">
        <v>390</v>
      </c>
      <c r="B176" s="122" t="s">
        <v>319</v>
      </c>
      <c r="C176" s="122" t="s">
        <v>337</v>
      </c>
      <c r="D176" s="127">
        <v>4000000000</v>
      </c>
      <c r="E176" s="122"/>
      <c r="F176" s="122"/>
      <c r="G176" s="127">
        <f t="shared" si="97"/>
        <v>9239.7000000000007</v>
      </c>
      <c r="H176" s="127">
        <f t="shared" si="97"/>
        <v>11269.7</v>
      </c>
      <c r="I176" s="123">
        <f t="shared" si="97"/>
        <v>11269.688969999999</v>
      </c>
      <c r="J176" s="123">
        <f t="shared" si="97"/>
        <v>10816.217999999999</v>
      </c>
      <c r="K176" s="123">
        <f t="shared" si="84"/>
        <v>-1.1030000001483131E-2</v>
      </c>
      <c r="L176" s="118">
        <f t="shared" si="79"/>
        <v>99.999902126942146</v>
      </c>
      <c r="M176" s="123">
        <f t="shared" si="85"/>
        <v>-453.47097000000031</v>
      </c>
      <c r="N176" s="123">
        <f t="shared" si="86"/>
        <v>95.976189128137051</v>
      </c>
      <c r="O176" s="123">
        <f t="shared" si="87"/>
        <v>117.06243709211337</v>
      </c>
      <c r="P176" s="123">
        <f t="shared" si="88"/>
        <v>95.976095193305937</v>
      </c>
      <c r="Q176" s="123">
        <f t="shared" si="89"/>
        <v>2030</v>
      </c>
      <c r="R176" s="123">
        <f t="shared" si="90"/>
        <v>121.97041029470654</v>
      </c>
      <c r="S176" s="123">
        <f t="shared" si="91"/>
        <v>10.509691403073482</v>
      </c>
    </row>
    <row r="177" spans="1:19" ht="40.5" customHeight="1" x14ac:dyDescent="0.2">
      <c r="A177" s="131" t="s">
        <v>483</v>
      </c>
      <c r="B177" s="122" t="s">
        <v>319</v>
      </c>
      <c r="C177" s="122" t="s">
        <v>337</v>
      </c>
      <c r="D177" s="122" t="s">
        <v>490</v>
      </c>
      <c r="E177" s="122"/>
      <c r="F177" s="122"/>
      <c r="G177" s="123">
        <f>G178+G181</f>
        <v>9239.7000000000007</v>
      </c>
      <c r="H177" s="123">
        <f>H178+H181</f>
        <v>11269.7</v>
      </c>
      <c r="I177" s="123">
        <f>I178+I181</f>
        <v>11269.688969999999</v>
      </c>
      <c r="J177" s="123">
        <f>J178+J181</f>
        <v>10816.217999999999</v>
      </c>
      <c r="K177" s="123">
        <f t="shared" si="84"/>
        <v>-1.1030000001483131E-2</v>
      </c>
      <c r="L177" s="118">
        <f t="shared" si="79"/>
        <v>99.999902126942146</v>
      </c>
      <c r="M177" s="123">
        <f t="shared" si="85"/>
        <v>-453.47097000000031</v>
      </c>
      <c r="N177" s="123">
        <f t="shared" si="86"/>
        <v>95.976189128137051</v>
      </c>
      <c r="O177" s="123">
        <f t="shared" si="87"/>
        <v>117.06243709211337</v>
      </c>
      <c r="P177" s="123">
        <f t="shared" si="88"/>
        <v>95.976095193305937</v>
      </c>
      <c r="Q177" s="123">
        <f t="shared" si="89"/>
        <v>2030</v>
      </c>
      <c r="R177" s="123">
        <f t="shared" si="90"/>
        <v>121.97041029470654</v>
      </c>
      <c r="S177" s="123">
        <f t="shared" si="91"/>
        <v>10.509691403073482</v>
      </c>
    </row>
    <row r="178" spans="1:19" ht="41.25" customHeight="1" x14ac:dyDescent="0.2">
      <c r="A178" s="149" t="s">
        <v>491</v>
      </c>
      <c r="B178" s="122" t="s">
        <v>319</v>
      </c>
      <c r="C178" s="122" t="s">
        <v>337</v>
      </c>
      <c r="D178" s="127">
        <v>4030089111</v>
      </c>
      <c r="E178" s="135"/>
      <c r="F178" s="135"/>
      <c r="G178" s="123">
        <f t="shared" ref="G178:J179" si="98">SUM(G179)</f>
        <v>1150</v>
      </c>
      <c r="H178" s="123">
        <f t="shared" si="98"/>
        <v>1150</v>
      </c>
      <c r="I178" s="123">
        <f t="shared" si="98"/>
        <v>1150</v>
      </c>
      <c r="J178" s="123">
        <f t="shared" si="98"/>
        <v>1150</v>
      </c>
      <c r="K178" s="123">
        <f t="shared" si="84"/>
        <v>0</v>
      </c>
      <c r="L178" s="118">
        <f t="shared" si="79"/>
        <v>100</v>
      </c>
      <c r="M178" s="123">
        <f t="shared" si="85"/>
        <v>0</v>
      </c>
      <c r="N178" s="123">
        <f t="shared" si="86"/>
        <v>100</v>
      </c>
      <c r="O178" s="123">
        <f t="shared" si="87"/>
        <v>100</v>
      </c>
      <c r="P178" s="123">
        <f t="shared" si="88"/>
        <v>100</v>
      </c>
      <c r="Q178" s="123">
        <f t="shared" si="89"/>
        <v>0</v>
      </c>
      <c r="R178" s="123">
        <f t="shared" si="90"/>
        <v>100</v>
      </c>
      <c r="S178" s="123">
        <f t="shared" si="91"/>
        <v>1.1174095338624372</v>
      </c>
    </row>
    <row r="179" spans="1:19" ht="41.25" customHeight="1" x14ac:dyDescent="0.2">
      <c r="A179" s="125" t="s">
        <v>416</v>
      </c>
      <c r="B179" s="122" t="s">
        <v>319</v>
      </c>
      <c r="C179" s="122" t="s">
        <v>337</v>
      </c>
      <c r="D179" s="127">
        <v>4030089111</v>
      </c>
      <c r="E179" s="122" t="s">
        <v>417</v>
      </c>
      <c r="F179" s="122"/>
      <c r="G179" s="123">
        <f t="shared" si="98"/>
        <v>1150</v>
      </c>
      <c r="H179" s="123">
        <f t="shared" si="98"/>
        <v>1150</v>
      </c>
      <c r="I179" s="123">
        <f t="shared" si="98"/>
        <v>1150</v>
      </c>
      <c r="J179" s="123">
        <f t="shared" si="98"/>
        <v>1150</v>
      </c>
      <c r="K179" s="123">
        <f t="shared" si="84"/>
        <v>0</v>
      </c>
      <c r="L179" s="118">
        <f t="shared" si="79"/>
        <v>100</v>
      </c>
      <c r="M179" s="123">
        <f t="shared" si="85"/>
        <v>0</v>
      </c>
      <c r="N179" s="123">
        <f t="shared" si="86"/>
        <v>100</v>
      </c>
      <c r="O179" s="123">
        <f t="shared" si="87"/>
        <v>100</v>
      </c>
      <c r="P179" s="123">
        <f t="shared" si="88"/>
        <v>100</v>
      </c>
      <c r="Q179" s="123">
        <f t="shared" si="89"/>
        <v>0</v>
      </c>
      <c r="R179" s="123">
        <f t="shared" si="90"/>
        <v>100</v>
      </c>
      <c r="S179" s="123">
        <f t="shared" si="91"/>
        <v>1.1174095338624372</v>
      </c>
    </row>
    <row r="180" spans="1:19" ht="42.75" customHeight="1" x14ac:dyDescent="0.2">
      <c r="A180" s="125" t="s">
        <v>418</v>
      </c>
      <c r="B180" s="122" t="s">
        <v>319</v>
      </c>
      <c r="C180" s="122" t="s">
        <v>337</v>
      </c>
      <c r="D180" s="127">
        <v>4030089111</v>
      </c>
      <c r="E180" s="122" t="s">
        <v>420</v>
      </c>
      <c r="F180" s="122" t="s">
        <v>422</v>
      </c>
      <c r="G180" s="123">
        <v>1150</v>
      </c>
      <c r="H180" s="123">
        <v>1150</v>
      </c>
      <c r="I180" s="123">
        <v>1150</v>
      </c>
      <c r="J180" s="123">
        <v>1150</v>
      </c>
      <c r="K180" s="123">
        <f t="shared" si="84"/>
        <v>0</v>
      </c>
      <c r="L180" s="118">
        <f t="shared" si="79"/>
        <v>100</v>
      </c>
      <c r="M180" s="123">
        <f t="shared" si="85"/>
        <v>0</v>
      </c>
      <c r="N180" s="123">
        <f t="shared" si="86"/>
        <v>100</v>
      </c>
      <c r="O180" s="123">
        <f t="shared" si="87"/>
        <v>100</v>
      </c>
      <c r="P180" s="123">
        <f t="shared" si="88"/>
        <v>100</v>
      </c>
      <c r="Q180" s="123">
        <f t="shared" si="89"/>
        <v>0</v>
      </c>
      <c r="R180" s="123">
        <f t="shared" si="90"/>
        <v>100</v>
      </c>
      <c r="S180" s="123">
        <f t="shared" si="91"/>
        <v>1.1174095338624372</v>
      </c>
    </row>
    <row r="181" spans="1:19" ht="19.5" customHeight="1" x14ac:dyDescent="0.2">
      <c r="A181" s="125" t="s">
        <v>492</v>
      </c>
      <c r="B181" s="122" t="s">
        <v>319</v>
      </c>
      <c r="C181" s="122" t="s">
        <v>337</v>
      </c>
      <c r="D181" s="127">
        <v>4030099990</v>
      </c>
      <c r="E181" s="122"/>
      <c r="F181" s="122"/>
      <c r="G181" s="123">
        <f t="shared" ref="G181:J182" si="99">G182</f>
        <v>8089.7</v>
      </c>
      <c r="H181" s="123">
        <f t="shared" si="99"/>
        <v>10119.700000000001</v>
      </c>
      <c r="I181" s="123">
        <f t="shared" si="99"/>
        <v>10119.688969999999</v>
      </c>
      <c r="J181" s="123">
        <f t="shared" si="99"/>
        <v>9666.2179999999989</v>
      </c>
      <c r="K181" s="123">
        <f t="shared" si="84"/>
        <v>-1.1030000001483131E-2</v>
      </c>
      <c r="L181" s="118">
        <f t="shared" si="79"/>
        <v>99.999891004674041</v>
      </c>
      <c r="M181" s="123">
        <f t="shared" si="85"/>
        <v>-453.47097000000031</v>
      </c>
      <c r="N181" s="123">
        <f t="shared" si="86"/>
        <v>95.518923839019919</v>
      </c>
      <c r="O181" s="123">
        <f t="shared" si="87"/>
        <v>119.48796617921553</v>
      </c>
      <c r="P181" s="123">
        <f t="shared" si="88"/>
        <v>95.518819727857533</v>
      </c>
      <c r="Q181" s="123">
        <f t="shared" si="89"/>
        <v>2030.0000000000009</v>
      </c>
      <c r="R181" s="123">
        <f t="shared" si="90"/>
        <v>125.09363758853853</v>
      </c>
      <c r="S181" s="123">
        <f t="shared" si="91"/>
        <v>9.392281869211045</v>
      </c>
    </row>
    <row r="182" spans="1:19" ht="44.25" customHeight="1" x14ac:dyDescent="0.2">
      <c r="A182" s="125" t="s">
        <v>416</v>
      </c>
      <c r="B182" s="122" t="s">
        <v>319</v>
      </c>
      <c r="C182" s="122" t="s">
        <v>337</v>
      </c>
      <c r="D182" s="127">
        <v>4030099990</v>
      </c>
      <c r="E182" s="122" t="s">
        <v>417</v>
      </c>
      <c r="F182" s="122"/>
      <c r="G182" s="123">
        <f t="shared" si="99"/>
        <v>8089.7</v>
      </c>
      <c r="H182" s="123">
        <f t="shared" si="99"/>
        <v>10119.700000000001</v>
      </c>
      <c r="I182" s="123">
        <f t="shared" si="99"/>
        <v>10119.688969999999</v>
      </c>
      <c r="J182" s="123">
        <f t="shared" si="99"/>
        <v>9666.2179999999989</v>
      </c>
      <c r="K182" s="123">
        <f t="shared" si="84"/>
        <v>-1.1030000001483131E-2</v>
      </c>
      <c r="L182" s="118">
        <f t="shared" si="79"/>
        <v>99.999891004674041</v>
      </c>
      <c r="M182" s="123">
        <f t="shared" si="85"/>
        <v>-453.47097000000031</v>
      </c>
      <c r="N182" s="123">
        <f t="shared" si="86"/>
        <v>95.518923839019919</v>
      </c>
      <c r="O182" s="123">
        <f t="shared" si="87"/>
        <v>119.48796617921553</v>
      </c>
      <c r="P182" s="123">
        <f t="shared" si="88"/>
        <v>95.518819727857533</v>
      </c>
      <c r="Q182" s="123">
        <f t="shared" si="89"/>
        <v>2030.0000000000009</v>
      </c>
      <c r="R182" s="123">
        <f t="shared" si="90"/>
        <v>125.09363758853853</v>
      </c>
      <c r="S182" s="123">
        <f t="shared" si="91"/>
        <v>9.392281869211045</v>
      </c>
    </row>
    <row r="183" spans="1:19" ht="44.25" customHeight="1" x14ac:dyDescent="0.2">
      <c r="A183" s="125" t="s">
        <v>418</v>
      </c>
      <c r="B183" s="122" t="s">
        <v>319</v>
      </c>
      <c r="C183" s="122" t="s">
        <v>337</v>
      </c>
      <c r="D183" s="127">
        <v>4030099990</v>
      </c>
      <c r="E183" s="122" t="s">
        <v>419</v>
      </c>
      <c r="F183" s="122"/>
      <c r="G183" s="123">
        <v>8089.7</v>
      </c>
      <c r="H183" s="123">
        <v>10119.700000000001</v>
      </c>
      <c r="I183" s="123">
        <f>I184+I185+I186+I187+I188</f>
        <v>10119.688969999999</v>
      </c>
      <c r="J183" s="123">
        <f>J184+J185+J186+J187+J188</f>
        <v>9666.2179999999989</v>
      </c>
      <c r="K183" s="123">
        <f t="shared" si="84"/>
        <v>-1.1030000001483131E-2</v>
      </c>
      <c r="L183" s="118">
        <f t="shared" ref="L183:L266" si="100">I183/H183*100</f>
        <v>99.999891004674041</v>
      </c>
      <c r="M183" s="123">
        <f t="shared" si="85"/>
        <v>-453.47097000000031</v>
      </c>
      <c r="N183" s="123">
        <f t="shared" si="86"/>
        <v>95.518923839019919</v>
      </c>
      <c r="O183" s="123">
        <f t="shared" si="87"/>
        <v>119.48796617921553</v>
      </c>
      <c r="P183" s="123">
        <f t="shared" si="88"/>
        <v>95.518819727857533</v>
      </c>
      <c r="Q183" s="123">
        <f t="shared" si="89"/>
        <v>2030.0000000000009</v>
      </c>
      <c r="R183" s="123">
        <f t="shared" si="90"/>
        <v>125.09363758853853</v>
      </c>
      <c r="S183" s="123">
        <f t="shared" si="91"/>
        <v>9.392281869211045</v>
      </c>
    </row>
    <row r="184" spans="1:19" ht="20.25" customHeight="1" x14ac:dyDescent="0.2">
      <c r="A184" s="125"/>
      <c r="B184" s="122" t="s">
        <v>319</v>
      </c>
      <c r="C184" s="122" t="s">
        <v>337</v>
      </c>
      <c r="D184" s="127">
        <v>4030099990</v>
      </c>
      <c r="E184" s="122" t="s">
        <v>420</v>
      </c>
      <c r="F184" s="122" t="s">
        <v>493</v>
      </c>
      <c r="G184" s="123"/>
      <c r="H184" s="123"/>
      <c r="I184" s="123">
        <v>0.92</v>
      </c>
      <c r="J184" s="123">
        <v>0.92</v>
      </c>
      <c r="K184" s="123"/>
      <c r="L184" s="118"/>
      <c r="M184" s="123">
        <f t="shared" si="85"/>
        <v>0</v>
      </c>
      <c r="N184" s="123"/>
      <c r="O184" s="123"/>
      <c r="P184" s="123"/>
      <c r="Q184" s="123"/>
      <c r="R184" s="123"/>
      <c r="S184" s="123"/>
    </row>
    <row r="185" spans="1:19" ht="24.75" customHeight="1" x14ac:dyDescent="0.2">
      <c r="A185" s="125"/>
      <c r="B185" s="122" t="s">
        <v>319</v>
      </c>
      <c r="C185" s="122" t="s">
        <v>337</v>
      </c>
      <c r="D185" s="127">
        <v>4030099990</v>
      </c>
      <c r="E185" s="122" t="s">
        <v>420</v>
      </c>
      <c r="F185" s="122" t="s">
        <v>422</v>
      </c>
      <c r="G185" s="123"/>
      <c r="H185" s="123"/>
      <c r="I185" s="123">
        <v>5846.7706399999997</v>
      </c>
      <c r="J185" s="123">
        <v>5393.3</v>
      </c>
      <c r="K185" s="123"/>
      <c r="L185" s="118"/>
      <c r="M185" s="123">
        <f t="shared" si="85"/>
        <v>-453.47063999999955</v>
      </c>
      <c r="N185" s="123"/>
      <c r="O185" s="123"/>
      <c r="P185" s="123"/>
      <c r="Q185" s="123"/>
      <c r="R185" s="123"/>
      <c r="S185" s="123"/>
    </row>
    <row r="186" spans="1:19" ht="21" customHeight="1" x14ac:dyDescent="0.2">
      <c r="A186" s="125"/>
      <c r="B186" s="122" t="s">
        <v>319</v>
      </c>
      <c r="C186" s="122" t="s">
        <v>337</v>
      </c>
      <c r="D186" s="127">
        <v>4030099990</v>
      </c>
      <c r="E186" s="122" t="s">
        <v>420</v>
      </c>
      <c r="F186" s="122" t="s">
        <v>415</v>
      </c>
      <c r="G186" s="123"/>
      <c r="H186" s="123"/>
      <c r="I186" s="123">
        <v>107</v>
      </c>
      <c r="J186" s="123">
        <v>107</v>
      </c>
      <c r="K186" s="123"/>
      <c r="L186" s="118"/>
      <c r="M186" s="123">
        <f t="shared" si="85"/>
        <v>0</v>
      </c>
      <c r="N186" s="123"/>
      <c r="O186" s="123"/>
      <c r="P186" s="123"/>
      <c r="Q186" s="123"/>
      <c r="R186" s="123"/>
      <c r="S186" s="123"/>
    </row>
    <row r="187" spans="1:19" ht="21" customHeight="1" x14ac:dyDescent="0.2">
      <c r="A187" s="125"/>
      <c r="B187" s="122" t="s">
        <v>319</v>
      </c>
      <c r="C187" s="122" t="s">
        <v>337</v>
      </c>
      <c r="D187" s="127">
        <v>4030099990</v>
      </c>
      <c r="E187" s="122" t="s">
        <v>420</v>
      </c>
      <c r="F187" s="122" t="s">
        <v>424</v>
      </c>
      <c r="G187" s="123"/>
      <c r="H187" s="123"/>
      <c r="I187" s="123">
        <v>4148.2233299999998</v>
      </c>
      <c r="J187" s="123">
        <v>4148.223</v>
      </c>
      <c r="K187" s="123"/>
      <c r="L187" s="118"/>
      <c r="M187" s="123">
        <f t="shared" si="85"/>
        <v>-3.2999999984895112E-4</v>
      </c>
      <c r="N187" s="123"/>
      <c r="O187" s="123"/>
      <c r="P187" s="123"/>
      <c r="Q187" s="123"/>
      <c r="R187" s="123"/>
      <c r="S187" s="123"/>
    </row>
    <row r="188" spans="1:19" ht="20.25" customHeight="1" x14ac:dyDescent="0.2">
      <c r="A188" s="125"/>
      <c r="B188" s="122" t="s">
        <v>319</v>
      </c>
      <c r="C188" s="122" t="s">
        <v>337</v>
      </c>
      <c r="D188" s="127">
        <v>4030099990</v>
      </c>
      <c r="E188" s="122" t="s">
        <v>420</v>
      </c>
      <c r="F188" s="122" t="s">
        <v>426</v>
      </c>
      <c r="G188" s="123"/>
      <c r="H188" s="123"/>
      <c r="I188" s="123">
        <v>16.774999999999999</v>
      </c>
      <c r="J188" s="123">
        <v>16.774999999999999</v>
      </c>
      <c r="K188" s="123"/>
      <c r="L188" s="118"/>
      <c r="M188" s="123">
        <f t="shared" si="85"/>
        <v>0</v>
      </c>
      <c r="N188" s="123"/>
      <c r="O188" s="123"/>
      <c r="P188" s="123"/>
      <c r="Q188" s="123"/>
      <c r="R188" s="123"/>
      <c r="S188" s="123"/>
    </row>
    <row r="189" spans="1:19" s="119" customFormat="1" ht="21.75" customHeight="1" x14ac:dyDescent="0.2">
      <c r="A189" s="114" t="s">
        <v>350</v>
      </c>
      <c r="B189" s="115" t="s">
        <v>319</v>
      </c>
      <c r="C189" s="115" t="s">
        <v>312</v>
      </c>
      <c r="D189" s="129"/>
      <c r="E189" s="115"/>
      <c r="F189" s="115"/>
      <c r="G189" s="116">
        <f>G190</f>
        <v>550</v>
      </c>
      <c r="H189" s="116"/>
      <c r="I189" s="116"/>
      <c r="J189" s="116"/>
      <c r="K189" s="116">
        <f t="shared" ref="K189:K190" si="101">I189-H189</f>
        <v>0</v>
      </c>
      <c r="L189" s="118"/>
      <c r="M189" s="116">
        <f t="shared" si="85"/>
        <v>0</v>
      </c>
      <c r="N189" s="116"/>
      <c r="O189" s="116">
        <f t="shared" ref="O189:O190" si="102">J189/G189*100</f>
        <v>0</v>
      </c>
      <c r="P189" s="116"/>
      <c r="Q189" s="116">
        <f t="shared" ref="Q189:Q190" si="103">H189-G189</f>
        <v>-550</v>
      </c>
      <c r="R189" s="116">
        <f t="shared" ref="R189:R190" si="104">H189/G189*100</f>
        <v>0</v>
      </c>
      <c r="S189" s="116">
        <f t="shared" ref="S189:S202" si="105">J189/$J$329*100</f>
        <v>0</v>
      </c>
    </row>
    <row r="190" spans="1:19" ht="16.5" customHeight="1" x14ac:dyDescent="0.2">
      <c r="A190" s="125"/>
      <c r="B190" s="122" t="s">
        <v>319</v>
      </c>
      <c r="C190" s="122" t="s">
        <v>312</v>
      </c>
      <c r="D190" s="127">
        <v>4010002400</v>
      </c>
      <c r="E190" s="122" t="s">
        <v>419</v>
      </c>
      <c r="F190" s="122"/>
      <c r="G190" s="123">
        <v>550</v>
      </c>
      <c r="H190" s="123"/>
      <c r="I190" s="123"/>
      <c r="J190" s="123"/>
      <c r="K190" s="123">
        <f t="shared" si="101"/>
        <v>0</v>
      </c>
      <c r="L190" s="118"/>
      <c r="M190" s="123">
        <f t="shared" si="85"/>
        <v>0</v>
      </c>
      <c r="N190" s="123"/>
      <c r="O190" s="123">
        <f t="shared" si="102"/>
        <v>0</v>
      </c>
      <c r="P190" s="123"/>
      <c r="Q190" s="123">
        <f t="shared" si="103"/>
        <v>-550</v>
      </c>
      <c r="R190" s="123">
        <f t="shared" si="104"/>
        <v>0</v>
      </c>
      <c r="S190" s="123">
        <f t="shared" si="105"/>
        <v>0</v>
      </c>
    </row>
    <row r="191" spans="1:19" s="119" customFormat="1" ht="32.25" customHeight="1" x14ac:dyDescent="0.2">
      <c r="A191" s="120" t="s">
        <v>354</v>
      </c>
      <c r="B191" s="115" t="s">
        <v>346</v>
      </c>
      <c r="C191" s="115"/>
      <c r="D191" s="115"/>
      <c r="E191" s="115"/>
      <c r="F191" s="115"/>
      <c r="G191" s="116">
        <f>G192+G239+G218</f>
        <v>12210.7</v>
      </c>
      <c r="H191" s="116">
        <f>H192+H239+H218</f>
        <v>23426.1</v>
      </c>
      <c r="I191" s="116">
        <f>I192+I239+I218</f>
        <v>23426.083200000001</v>
      </c>
      <c r="J191" s="116">
        <f>J192+J239+J218</f>
        <v>17930.939399999999</v>
      </c>
      <c r="K191" s="116">
        <f t="shared" si="84"/>
        <v>-1.6799999997601844E-2</v>
      </c>
      <c r="L191" s="118">
        <f t="shared" si="100"/>
        <v>99.999928285117889</v>
      </c>
      <c r="M191" s="116">
        <f t="shared" si="85"/>
        <v>-5495.1438000000016</v>
      </c>
      <c r="N191" s="116">
        <f t="shared" si="86"/>
        <v>76.54262663935215</v>
      </c>
      <c r="O191" s="116">
        <f t="shared" si="87"/>
        <v>146.84612184395652</v>
      </c>
      <c r="P191" s="116">
        <f t="shared" si="88"/>
        <v>76.542571746897693</v>
      </c>
      <c r="Q191" s="116">
        <f t="shared" si="89"/>
        <v>11215.399999999998</v>
      </c>
      <c r="R191" s="116">
        <f t="shared" si="90"/>
        <v>191.84895214852546</v>
      </c>
      <c r="S191" s="116">
        <f t="shared" si="105"/>
        <v>17.422784901451838</v>
      </c>
    </row>
    <row r="192" spans="1:19" s="119" customFormat="1" ht="21.75" customHeight="1" x14ac:dyDescent="0.2">
      <c r="A192" s="153" t="s">
        <v>494</v>
      </c>
      <c r="B192" s="115" t="s">
        <v>346</v>
      </c>
      <c r="C192" s="115" t="s">
        <v>310</v>
      </c>
      <c r="D192" s="115"/>
      <c r="E192" s="115"/>
      <c r="F192" s="115"/>
      <c r="G192" s="116">
        <f>G198+G193</f>
        <v>3824.5</v>
      </c>
      <c r="H192" s="116">
        <f>H198+H193</f>
        <v>5576.9</v>
      </c>
      <c r="I192" s="116">
        <f>I198+I193</f>
        <v>5576.8995899999991</v>
      </c>
      <c r="J192" s="116">
        <f>J198+J193</f>
        <v>5180.4625399999995</v>
      </c>
      <c r="K192" s="116">
        <f t="shared" si="84"/>
        <v>-4.1000000055646524E-4</v>
      </c>
      <c r="L192" s="118">
        <f t="shared" si="100"/>
        <v>99.999992648245424</v>
      </c>
      <c r="M192" s="116">
        <f t="shared" si="85"/>
        <v>-396.43704999999954</v>
      </c>
      <c r="N192" s="116">
        <f t="shared" si="86"/>
        <v>92.891443648889521</v>
      </c>
      <c r="O192" s="116">
        <f t="shared" si="87"/>
        <v>135.45463563864558</v>
      </c>
      <c r="P192" s="116">
        <f t="shared" si="88"/>
        <v>92.891436819738558</v>
      </c>
      <c r="Q192" s="116">
        <f t="shared" si="89"/>
        <v>1752.3999999999996</v>
      </c>
      <c r="R192" s="116">
        <f t="shared" si="90"/>
        <v>145.82036867564386</v>
      </c>
      <c r="S192" s="116">
        <f t="shared" si="105"/>
        <v>5.033650636533233</v>
      </c>
    </row>
    <row r="193" spans="1:19" ht="39.75" customHeight="1" x14ac:dyDescent="0.2">
      <c r="A193" s="125" t="s">
        <v>495</v>
      </c>
      <c r="B193" s="143" t="s">
        <v>346</v>
      </c>
      <c r="C193" s="143" t="s">
        <v>310</v>
      </c>
      <c r="D193" s="122" t="s">
        <v>496</v>
      </c>
      <c r="E193" s="127"/>
      <c r="F193" s="127"/>
      <c r="G193" s="123">
        <f t="shared" ref="G193:J194" si="106">G194</f>
        <v>0</v>
      </c>
      <c r="H193" s="123">
        <f t="shared" si="106"/>
        <v>200</v>
      </c>
      <c r="I193" s="123">
        <f t="shared" si="106"/>
        <v>200</v>
      </c>
      <c r="J193" s="123">
        <f t="shared" si="106"/>
        <v>200</v>
      </c>
      <c r="K193" s="123">
        <f t="shared" si="84"/>
        <v>0</v>
      </c>
      <c r="L193" s="118">
        <f t="shared" si="100"/>
        <v>100</v>
      </c>
      <c r="M193" s="123">
        <f t="shared" si="85"/>
        <v>0</v>
      </c>
      <c r="N193" s="123">
        <f t="shared" si="86"/>
        <v>100</v>
      </c>
      <c r="O193" s="123"/>
      <c r="P193" s="123">
        <f t="shared" si="88"/>
        <v>100</v>
      </c>
      <c r="Q193" s="123">
        <f t="shared" si="89"/>
        <v>200</v>
      </c>
      <c r="R193" s="123"/>
      <c r="S193" s="123">
        <f t="shared" si="105"/>
        <v>0.19433209284564129</v>
      </c>
    </row>
    <row r="194" spans="1:19" ht="60.75" customHeight="1" x14ac:dyDescent="0.2">
      <c r="A194" s="86" t="s">
        <v>497</v>
      </c>
      <c r="B194" s="143" t="s">
        <v>346</v>
      </c>
      <c r="C194" s="143" t="s">
        <v>310</v>
      </c>
      <c r="D194" s="176" t="s">
        <v>498</v>
      </c>
      <c r="E194" s="135"/>
      <c r="F194" s="135"/>
      <c r="G194" s="123">
        <f t="shared" si="106"/>
        <v>0</v>
      </c>
      <c r="H194" s="123">
        <f t="shared" si="106"/>
        <v>200</v>
      </c>
      <c r="I194" s="123">
        <f t="shared" si="106"/>
        <v>200</v>
      </c>
      <c r="J194" s="123">
        <f t="shared" si="106"/>
        <v>200</v>
      </c>
      <c r="K194" s="123">
        <f t="shared" si="84"/>
        <v>0</v>
      </c>
      <c r="L194" s="118">
        <f t="shared" si="100"/>
        <v>100</v>
      </c>
      <c r="M194" s="123">
        <f t="shared" si="85"/>
        <v>0</v>
      </c>
      <c r="N194" s="123">
        <f t="shared" si="86"/>
        <v>100</v>
      </c>
      <c r="O194" s="123"/>
      <c r="P194" s="123">
        <f t="shared" si="88"/>
        <v>100</v>
      </c>
      <c r="Q194" s="123">
        <f t="shared" si="89"/>
        <v>200</v>
      </c>
      <c r="R194" s="123"/>
      <c r="S194" s="123">
        <f t="shared" si="105"/>
        <v>0.19433209284564129</v>
      </c>
    </row>
    <row r="195" spans="1:19" ht="27.75" customHeight="1" x14ac:dyDescent="0.2">
      <c r="A195" s="125" t="s">
        <v>499</v>
      </c>
      <c r="B195" s="143" t="s">
        <v>346</v>
      </c>
      <c r="C195" s="143" t="s">
        <v>310</v>
      </c>
      <c r="D195" s="176" t="s">
        <v>500</v>
      </c>
      <c r="E195" s="135"/>
      <c r="F195" s="135"/>
      <c r="G195" s="123">
        <f>SUM(G196)</f>
        <v>0</v>
      </c>
      <c r="H195" s="123">
        <f>SUM(H196)</f>
        <v>200</v>
      </c>
      <c r="I195" s="123">
        <f>SUM(I196)</f>
        <v>200</v>
      </c>
      <c r="J195" s="123">
        <f>SUM(J196)</f>
        <v>200</v>
      </c>
      <c r="K195" s="123">
        <f t="shared" si="84"/>
        <v>0</v>
      </c>
      <c r="L195" s="118">
        <f t="shared" si="100"/>
        <v>100</v>
      </c>
      <c r="M195" s="123">
        <f t="shared" si="85"/>
        <v>0</v>
      </c>
      <c r="N195" s="123">
        <f t="shared" si="86"/>
        <v>100</v>
      </c>
      <c r="O195" s="123"/>
      <c r="P195" s="123">
        <f t="shared" si="88"/>
        <v>100</v>
      </c>
      <c r="Q195" s="123">
        <f t="shared" si="89"/>
        <v>200</v>
      </c>
      <c r="R195" s="123"/>
      <c r="S195" s="123">
        <f t="shared" si="105"/>
        <v>0.19433209284564129</v>
      </c>
    </row>
    <row r="196" spans="1:19" ht="42.75" customHeight="1" x14ac:dyDescent="0.2">
      <c r="A196" s="125" t="s">
        <v>416</v>
      </c>
      <c r="B196" s="143" t="s">
        <v>346</v>
      </c>
      <c r="C196" s="143" t="s">
        <v>310</v>
      </c>
      <c r="D196" s="176" t="s">
        <v>500</v>
      </c>
      <c r="E196" s="135">
        <v>200</v>
      </c>
      <c r="F196" s="135"/>
      <c r="G196" s="123">
        <f>G197</f>
        <v>0</v>
      </c>
      <c r="H196" s="123">
        <f>H197</f>
        <v>200</v>
      </c>
      <c r="I196" s="123">
        <f>I197</f>
        <v>200</v>
      </c>
      <c r="J196" s="123">
        <f>J197</f>
        <v>200</v>
      </c>
      <c r="K196" s="123">
        <f t="shared" si="84"/>
        <v>0</v>
      </c>
      <c r="L196" s="118">
        <f t="shared" si="100"/>
        <v>100</v>
      </c>
      <c r="M196" s="123">
        <f t="shared" si="85"/>
        <v>0</v>
      </c>
      <c r="N196" s="123">
        <f t="shared" si="86"/>
        <v>100</v>
      </c>
      <c r="O196" s="123"/>
      <c r="P196" s="123">
        <f t="shared" si="88"/>
        <v>100</v>
      </c>
      <c r="Q196" s="123">
        <f t="shared" si="89"/>
        <v>200</v>
      </c>
      <c r="R196" s="123"/>
      <c r="S196" s="123">
        <f t="shared" si="105"/>
        <v>0.19433209284564129</v>
      </c>
    </row>
    <row r="197" spans="1:19" ht="39" customHeight="1" x14ac:dyDescent="0.2">
      <c r="A197" s="125" t="s">
        <v>418</v>
      </c>
      <c r="B197" s="143" t="s">
        <v>346</v>
      </c>
      <c r="C197" s="143" t="s">
        <v>310</v>
      </c>
      <c r="D197" s="176" t="s">
        <v>500</v>
      </c>
      <c r="E197" s="135">
        <v>244</v>
      </c>
      <c r="F197" s="135">
        <v>225</v>
      </c>
      <c r="G197" s="123"/>
      <c r="H197" s="123">
        <v>200</v>
      </c>
      <c r="I197" s="123">
        <v>200</v>
      </c>
      <c r="J197" s="123">
        <v>200</v>
      </c>
      <c r="K197" s="123">
        <f t="shared" si="84"/>
        <v>0</v>
      </c>
      <c r="L197" s="118">
        <f t="shared" si="100"/>
        <v>100</v>
      </c>
      <c r="M197" s="123">
        <f t="shared" si="85"/>
        <v>0</v>
      </c>
      <c r="N197" s="123">
        <f t="shared" si="86"/>
        <v>100</v>
      </c>
      <c r="O197" s="123"/>
      <c r="P197" s="123">
        <f t="shared" si="88"/>
        <v>100</v>
      </c>
      <c r="Q197" s="123">
        <f t="shared" si="89"/>
        <v>200</v>
      </c>
      <c r="R197" s="123"/>
      <c r="S197" s="123">
        <f t="shared" si="105"/>
        <v>0.19433209284564129</v>
      </c>
    </row>
    <row r="198" spans="1:19" ht="28.5" customHeight="1" x14ac:dyDescent="0.2">
      <c r="A198" s="125" t="s">
        <v>390</v>
      </c>
      <c r="B198" s="143" t="s">
        <v>346</v>
      </c>
      <c r="C198" s="143" t="s">
        <v>310</v>
      </c>
      <c r="D198" s="122" t="s">
        <v>391</v>
      </c>
      <c r="E198" s="122"/>
      <c r="F198" s="122"/>
      <c r="G198" s="123">
        <f>(G199)</f>
        <v>3824.5</v>
      </c>
      <c r="H198" s="123">
        <f>(H199)</f>
        <v>5376.9</v>
      </c>
      <c r="I198" s="123">
        <f>(I199)</f>
        <v>5376.8995899999991</v>
      </c>
      <c r="J198" s="123">
        <f>(J199)</f>
        <v>4980.4625399999995</v>
      </c>
      <c r="K198" s="123">
        <f t="shared" ref="K198:K261" si="107">I198-H198</f>
        <v>-4.1000000055646524E-4</v>
      </c>
      <c r="L198" s="118">
        <f t="shared" si="100"/>
        <v>99.999992374788434</v>
      </c>
      <c r="M198" s="123">
        <f t="shared" ref="M198:M261" si="108">J198-I198</f>
        <v>-396.43704999999954</v>
      </c>
      <c r="N198" s="123">
        <f t="shared" ref="N198:N261" si="109">J198/I198*100</f>
        <v>92.627032672559167</v>
      </c>
      <c r="O198" s="123">
        <f t="shared" ref="O198:O258" si="110">J198/G198*100</f>
        <v>130.22519388155314</v>
      </c>
      <c r="P198" s="123">
        <f t="shared" ref="P198:P261" si="111">J198/H198*100</f>
        <v>92.627025609551978</v>
      </c>
      <c r="Q198" s="123">
        <f t="shared" ref="Q198:Q261" si="112">H198-G198</f>
        <v>1552.3999999999996</v>
      </c>
      <c r="R198" s="123">
        <f t="shared" ref="R198:R258" si="113">H198/G198*100</f>
        <v>140.59092691855145</v>
      </c>
      <c r="S198" s="123">
        <f t="shared" si="105"/>
        <v>4.8393185436875914</v>
      </c>
    </row>
    <row r="199" spans="1:19" ht="45" x14ac:dyDescent="0.2">
      <c r="A199" s="142" t="s">
        <v>501</v>
      </c>
      <c r="B199" s="143" t="s">
        <v>346</v>
      </c>
      <c r="C199" s="143" t="s">
        <v>310</v>
      </c>
      <c r="D199" s="177">
        <v>4060000000</v>
      </c>
      <c r="E199" s="122"/>
      <c r="F199" s="122"/>
      <c r="G199" s="123">
        <f>SUM(G200)+G211+G205+G208</f>
        <v>3824.5</v>
      </c>
      <c r="H199" s="123">
        <f>SUM(H200)+H211+H205+H208</f>
        <v>5376.9</v>
      </c>
      <c r="I199" s="123">
        <f>SUM(I200)+I211+I205+I208</f>
        <v>5376.8995899999991</v>
      </c>
      <c r="J199" s="123">
        <f>SUM(J200)+J211+J205+J208</f>
        <v>4980.4625399999995</v>
      </c>
      <c r="K199" s="123">
        <f t="shared" si="107"/>
        <v>-4.1000000055646524E-4</v>
      </c>
      <c r="L199" s="118">
        <f t="shared" si="100"/>
        <v>99.999992374788434</v>
      </c>
      <c r="M199" s="123">
        <f t="shared" si="108"/>
        <v>-396.43704999999954</v>
      </c>
      <c r="N199" s="123">
        <f t="shared" si="109"/>
        <v>92.627032672559167</v>
      </c>
      <c r="O199" s="123">
        <f t="shared" si="110"/>
        <v>130.22519388155314</v>
      </c>
      <c r="P199" s="123">
        <f t="shared" si="111"/>
        <v>92.627025609551978</v>
      </c>
      <c r="Q199" s="123">
        <f t="shared" si="112"/>
        <v>1552.3999999999996</v>
      </c>
      <c r="R199" s="123">
        <f t="shared" si="113"/>
        <v>140.59092691855145</v>
      </c>
      <c r="S199" s="123">
        <f t="shared" si="105"/>
        <v>4.8393185436875914</v>
      </c>
    </row>
    <row r="200" spans="1:19" ht="30.75" customHeight="1" x14ac:dyDescent="0.2">
      <c r="A200" s="149" t="s">
        <v>502</v>
      </c>
      <c r="B200" s="143" t="s">
        <v>346</v>
      </c>
      <c r="C200" s="143" t="s">
        <v>310</v>
      </c>
      <c r="D200" s="177">
        <v>4060089102</v>
      </c>
      <c r="E200" s="122"/>
      <c r="F200" s="122"/>
      <c r="G200" s="123">
        <f t="shared" ref="G200:J201" si="114">SUM(G201)</f>
        <v>3658</v>
      </c>
      <c r="H200" s="123">
        <f t="shared" si="114"/>
        <v>3658</v>
      </c>
      <c r="I200" s="123">
        <f t="shared" si="114"/>
        <v>3657.9991999999997</v>
      </c>
      <c r="J200" s="123">
        <f t="shared" si="114"/>
        <v>3657.9989999999998</v>
      </c>
      <c r="K200" s="123">
        <f t="shared" si="107"/>
        <v>-8.0000000025393092E-4</v>
      </c>
      <c r="L200" s="118">
        <f t="shared" si="100"/>
        <v>99.99997813012574</v>
      </c>
      <c r="M200" s="123">
        <f t="shared" si="108"/>
        <v>-1.9999999994979589E-4</v>
      </c>
      <c r="N200" s="123">
        <f t="shared" si="109"/>
        <v>99.999994532530252</v>
      </c>
      <c r="O200" s="123">
        <f t="shared" si="110"/>
        <v>99.999972662657186</v>
      </c>
      <c r="P200" s="123">
        <f t="shared" si="111"/>
        <v>99.999972662657186</v>
      </c>
      <c r="Q200" s="123">
        <f t="shared" si="112"/>
        <v>0</v>
      </c>
      <c r="R200" s="123">
        <f t="shared" si="113"/>
        <v>100</v>
      </c>
      <c r="S200" s="123">
        <f t="shared" si="105"/>
        <v>3.5543330064863148</v>
      </c>
    </row>
    <row r="201" spans="1:19" ht="41.25" customHeight="1" x14ac:dyDescent="0.2">
      <c r="A201" s="125" t="s">
        <v>416</v>
      </c>
      <c r="B201" s="143" t="s">
        <v>346</v>
      </c>
      <c r="C201" s="143" t="s">
        <v>310</v>
      </c>
      <c r="D201" s="177">
        <v>4060089102</v>
      </c>
      <c r="E201" s="122" t="s">
        <v>417</v>
      </c>
      <c r="F201" s="122"/>
      <c r="G201" s="123">
        <f t="shared" si="114"/>
        <v>3658</v>
      </c>
      <c r="H201" s="123">
        <f t="shared" si="114"/>
        <v>3658</v>
      </c>
      <c r="I201" s="123">
        <f t="shared" si="114"/>
        <v>3657.9991999999997</v>
      </c>
      <c r="J201" s="123">
        <f t="shared" si="114"/>
        <v>3657.9989999999998</v>
      </c>
      <c r="K201" s="123">
        <f t="shared" si="107"/>
        <v>-8.0000000025393092E-4</v>
      </c>
      <c r="L201" s="118">
        <f t="shared" si="100"/>
        <v>99.99997813012574</v>
      </c>
      <c r="M201" s="123">
        <f t="shared" si="108"/>
        <v>-1.9999999994979589E-4</v>
      </c>
      <c r="N201" s="123">
        <f t="shared" si="109"/>
        <v>99.999994532530252</v>
      </c>
      <c r="O201" s="123">
        <f t="shared" si="110"/>
        <v>99.999972662657186</v>
      </c>
      <c r="P201" s="123">
        <f t="shared" si="111"/>
        <v>99.999972662657186</v>
      </c>
      <c r="Q201" s="123">
        <f t="shared" si="112"/>
        <v>0</v>
      </c>
      <c r="R201" s="123">
        <f t="shared" si="113"/>
        <v>100</v>
      </c>
      <c r="S201" s="123">
        <f t="shared" si="105"/>
        <v>3.5543330064863148</v>
      </c>
    </row>
    <row r="202" spans="1:19" ht="38.25" customHeight="1" x14ac:dyDescent="0.2">
      <c r="A202" s="125" t="s">
        <v>418</v>
      </c>
      <c r="B202" s="143" t="s">
        <v>346</v>
      </c>
      <c r="C202" s="143" t="s">
        <v>310</v>
      </c>
      <c r="D202" s="177">
        <v>4060089102</v>
      </c>
      <c r="E202" s="122" t="s">
        <v>419</v>
      </c>
      <c r="F202" s="122"/>
      <c r="G202" s="123">
        <v>3658</v>
      </c>
      <c r="H202" s="123">
        <v>3658</v>
      </c>
      <c r="I202" s="123">
        <f>I203+I204</f>
        <v>3657.9991999999997</v>
      </c>
      <c r="J202" s="123">
        <f>J203+J204</f>
        <v>3657.9989999999998</v>
      </c>
      <c r="K202" s="123">
        <f t="shared" si="107"/>
        <v>-8.0000000025393092E-4</v>
      </c>
      <c r="L202" s="118">
        <f t="shared" si="100"/>
        <v>99.99997813012574</v>
      </c>
      <c r="M202" s="123">
        <f t="shared" si="108"/>
        <v>-1.9999999994979589E-4</v>
      </c>
      <c r="N202" s="123">
        <f t="shared" si="109"/>
        <v>99.999994532530252</v>
      </c>
      <c r="O202" s="123">
        <f t="shared" si="110"/>
        <v>99.999972662657186</v>
      </c>
      <c r="P202" s="123">
        <f t="shared" si="111"/>
        <v>99.999972662657186</v>
      </c>
      <c r="Q202" s="123">
        <f t="shared" si="112"/>
        <v>0</v>
      </c>
      <c r="R202" s="123">
        <f t="shared" si="113"/>
        <v>100</v>
      </c>
      <c r="S202" s="123">
        <f t="shared" si="105"/>
        <v>3.5543330064863148</v>
      </c>
    </row>
    <row r="203" spans="1:19" ht="22.5" customHeight="1" x14ac:dyDescent="0.2">
      <c r="A203" s="125"/>
      <c r="B203" s="143" t="s">
        <v>346</v>
      </c>
      <c r="C203" s="143" t="s">
        <v>310</v>
      </c>
      <c r="D203" s="177">
        <v>4060089102</v>
      </c>
      <c r="E203" s="122" t="s">
        <v>503</v>
      </c>
      <c r="F203" s="122" t="s">
        <v>422</v>
      </c>
      <c r="G203" s="123"/>
      <c r="H203" s="123"/>
      <c r="I203" s="123">
        <v>3147.93</v>
      </c>
      <c r="J203" s="123">
        <v>3147.93</v>
      </c>
      <c r="K203" s="123"/>
      <c r="L203" s="118"/>
      <c r="M203" s="123">
        <f t="shared" si="108"/>
        <v>0</v>
      </c>
      <c r="N203" s="123"/>
      <c r="O203" s="123"/>
      <c r="P203" s="123"/>
      <c r="Q203" s="123"/>
      <c r="R203" s="123"/>
      <c r="S203" s="123"/>
    </row>
    <row r="204" spans="1:19" ht="23.25" customHeight="1" x14ac:dyDescent="0.2">
      <c r="A204" s="125"/>
      <c r="B204" s="143" t="s">
        <v>346</v>
      </c>
      <c r="C204" s="143" t="s">
        <v>310</v>
      </c>
      <c r="D204" s="177">
        <v>4060089102</v>
      </c>
      <c r="E204" s="122" t="s">
        <v>503</v>
      </c>
      <c r="F204" s="122" t="s">
        <v>424</v>
      </c>
      <c r="G204" s="123"/>
      <c r="H204" s="123"/>
      <c r="I204" s="123">
        <v>510.06920000000002</v>
      </c>
      <c r="J204" s="123">
        <v>510.06900000000002</v>
      </c>
      <c r="K204" s="123"/>
      <c r="L204" s="118"/>
      <c r="M204" s="123">
        <f t="shared" si="108"/>
        <v>-2.0000000000663931E-4</v>
      </c>
      <c r="N204" s="123"/>
      <c r="O204" s="123"/>
      <c r="P204" s="123"/>
      <c r="Q204" s="123"/>
      <c r="R204" s="123"/>
      <c r="S204" s="123"/>
    </row>
    <row r="205" spans="1:19" ht="38.25" customHeight="1" x14ac:dyDescent="0.2">
      <c r="A205" s="125" t="s">
        <v>504</v>
      </c>
      <c r="B205" s="143" t="s">
        <v>346</v>
      </c>
      <c r="C205" s="143" t="s">
        <v>310</v>
      </c>
      <c r="D205" s="177">
        <v>4060089107</v>
      </c>
      <c r="E205" s="122"/>
      <c r="F205" s="122"/>
      <c r="G205" s="123">
        <f t="shared" ref="G205:J206" si="115">SUM(G206)</f>
        <v>0</v>
      </c>
      <c r="H205" s="123">
        <f t="shared" si="115"/>
        <v>350</v>
      </c>
      <c r="I205" s="123">
        <f t="shared" si="115"/>
        <v>350</v>
      </c>
      <c r="J205" s="123">
        <f t="shared" si="115"/>
        <v>350</v>
      </c>
      <c r="K205" s="123">
        <f t="shared" si="107"/>
        <v>0</v>
      </c>
      <c r="L205" s="118">
        <f t="shared" si="100"/>
        <v>100</v>
      </c>
      <c r="M205" s="123">
        <f t="shared" si="108"/>
        <v>0</v>
      </c>
      <c r="N205" s="123">
        <f t="shared" si="109"/>
        <v>100</v>
      </c>
      <c r="O205" s="123"/>
      <c r="P205" s="123">
        <f t="shared" si="111"/>
        <v>100</v>
      </c>
      <c r="Q205" s="123">
        <f t="shared" si="112"/>
        <v>350</v>
      </c>
      <c r="R205" s="123"/>
      <c r="S205" s="123">
        <f t="shared" ref="S205:S213" si="116">J205/$J$329*100</f>
        <v>0.34008116247987225</v>
      </c>
    </row>
    <row r="206" spans="1:19" ht="38.25" customHeight="1" x14ac:dyDescent="0.2">
      <c r="A206" s="125" t="s">
        <v>416</v>
      </c>
      <c r="B206" s="143" t="s">
        <v>346</v>
      </c>
      <c r="C206" s="143" t="s">
        <v>310</v>
      </c>
      <c r="D206" s="177">
        <v>4060089107</v>
      </c>
      <c r="E206" s="122" t="s">
        <v>417</v>
      </c>
      <c r="F206" s="122"/>
      <c r="G206" s="123">
        <f t="shared" si="115"/>
        <v>0</v>
      </c>
      <c r="H206" s="123">
        <f t="shared" si="115"/>
        <v>350</v>
      </c>
      <c r="I206" s="123">
        <f t="shared" si="115"/>
        <v>350</v>
      </c>
      <c r="J206" s="123">
        <f t="shared" si="115"/>
        <v>350</v>
      </c>
      <c r="K206" s="123">
        <f t="shared" si="107"/>
        <v>0</v>
      </c>
      <c r="L206" s="118">
        <f t="shared" si="100"/>
        <v>100</v>
      </c>
      <c r="M206" s="123">
        <f t="shared" si="108"/>
        <v>0</v>
      </c>
      <c r="N206" s="123">
        <f t="shared" si="109"/>
        <v>100</v>
      </c>
      <c r="O206" s="123"/>
      <c r="P206" s="123">
        <f t="shared" si="111"/>
        <v>100</v>
      </c>
      <c r="Q206" s="123">
        <f t="shared" si="112"/>
        <v>350</v>
      </c>
      <c r="R206" s="123"/>
      <c r="S206" s="123">
        <f t="shared" si="116"/>
        <v>0.34008116247987225</v>
      </c>
    </row>
    <row r="207" spans="1:19" ht="38.25" customHeight="1" x14ac:dyDescent="0.2">
      <c r="A207" s="125" t="s">
        <v>418</v>
      </c>
      <c r="B207" s="143" t="s">
        <v>346</v>
      </c>
      <c r="C207" s="143" t="s">
        <v>310</v>
      </c>
      <c r="D207" s="177">
        <v>4060289107</v>
      </c>
      <c r="E207" s="122" t="s">
        <v>420</v>
      </c>
      <c r="F207" s="122" t="s">
        <v>422</v>
      </c>
      <c r="G207" s="123"/>
      <c r="H207" s="123">
        <v>350</v>
      </c>
      <c r="I207" s="123">
        <v>350</v>
      </c>
      <c r="J207" s="123">
        <v>350</v>
      </c>
      <c r="K207" s="123">
        <f t="shared" si="107"/>
        <v>0</v>
      </c>
      <c r="L207" s="118">
        <f t="shared" si="100"/>
        <v>100</v>
      </c>
      <c r="M207" s="123">
        <f t="shared" si="108"/>
        <v>0</v>
      </c>
      <c r="N207" s="123">
        <f t="shared" si="109"/>
        <v>100</v>
      </c>
      <c r="O207" s="123"/>
      <c r="P207" s="123">
        <f t="shared" si="111"/>
        <v>100</v>
      </c>
      <c r="Q207" s="123">
        <f t="shared" si="112"/>
        <v>350</v>
      </c>
      <c r="R207" s="123"/>
      <c r="S207" s="123">
        <f t="shared" si="116"/>
        <v>0.34008116247987225</v>
      </c>
    </row>
    <row r="208" spans="1:19" ht="27" customHeight="1" x14ac:dyDescent="0.2">
      <c r="A208" s="125" t="s">
        <v>499</v>
      </c>
      <c r="B208" s="143" t="s">
        <v>346</v>
      </c>
      <c r="C208" s="143" t="s">
        <v>310</v>
      </c>
      <c r="D208" s="177">
        <v>4060289108</v>
      </c>
      <c r="E208" s="122"/>
      <c r="F208" s="122"/>
      <c r="G208" s="123">
        <f t="shared" ref="G208:J209" si="117">SUM(G209)</f>
        <v>0</v>
      </c>
      <c r="H208" s="123">
        <f t="shared" si="117"/>
        <v>50</v>
      </c>
      <c r="I208" s="123">
        <f t="shared" si="117"/>
        <v>50</v>
      </c>
      <c r="J208" s="123">
        <f t="shared" si="117"/>
        <v>50</v>
      </c>
      <c r="K208" s="123">
        <f t="shared" si="107"/>
        <v>0</v>
      </c>
      <c r="L208" s="118">
        <f t="shared" si="100"/>
        <v>100</v>
      </c>
      <c r="M208" s="123">
        <f t="shared" si="108"/>
        <v>0</v>
      </c>
      <c r="N208" s="123">
        <f t="shared" si="109"/>
        <v>100</v>
      </c>
      <c r="O208" s="123"/>
      <c r="P208" s="123">
        <f t="shared" si="111"/>
        <v>100</v>
      </c>
      <c r="Q208" s="123">
        <f t="shared" si="112"/>
        <v>50</v>
      </c>
      <c r="R208" s="123"/>
      <c r="S208" s="123">
        <f t="shared" si="116"/>
        <v>4.8583023211410323E-2</v>
      </c>
    </row>
    <row r="209" spans="1:19" ht="38.25" customHeight="1" x14ac:dyDescent="0.2">
      <c r="A209" s="125" t="s">
        <v>416</v>
      </c>
      <c r="B209" s="143" t="s">
        <v>346</v>
      </c>
      <c r="C209" s="143" t="s">
        <v>310</v>
      </c>
      <c r="D209" s="177">
        <v>4060289108</v>
      </c>
      <c r="E209" s="122" t="s">
        <v>417</v>
      </c>
      <c r="F209" s="122"/>
      <c r="G209" s="123">
        <f t="shared" si="117"/>
        <v>0</v>
      </c>
      <c r="H209" s="123">
        <f t="shared" si="117"/>
        <v>50</v>
      </c>
      <c r="I209" s="123">
        <f t="shared" si="117"/>
        <v>50</v>
      </c>
      <c r="J209" s="123">
        <f t="shared" si="117"/>
        <v>50</v>
      </c>
      <c r="K209" s="123">
        <f t="shared" si="107"/>
        <v>0</v>
      </c>
      <c r="L209" s="118">
        <f t="shared" si="100"/>
        <v>100</v>
      </c>
      <c r="M209" s="123">
        <f t="shared" si="108"/>
        <v>0</v>
      </c>
      <c r="N209" s="123">
        <f t="shared" si="109"/>
        <v>100</v>
      </c>
      <c r="O209" s="123"/>
      <c r="P209" s="123">
        <f t="shared" si="111"/>
        <v>100</v>
      </c>
      <c r="Q209" s="123">
        <f t="shared" si="112"/>
        <v>50</v>
      </c>
      <c r="R209" s="123"/>
      <c r="S209" s="123">
        <f t="shared" si="116"/>
        <v>4.8583023211410323E-2</v>
      </c>
    </row>
    <row r="210" spans="1:19" ht="38.25" customHeight="1" x14ac:dyDescent="0.2">
      <c r="A210" s="125" t="s">
        <v>418</v>
      </c>
      <c r="B210" s="143" t="s">
        <v>346</v>
      </c>
      <c r="C210" s="143" t="s">
        <v>310</v>
      </c>
      <c r="D210" s="177">
        <v>4060289108</v>
      </c>
      <c r="E210" s="122" t="s">
        <v>420</v>
      </c>
      <c r="F210" s="122" t="s">
        <v>415</v>
      </c>
      <c r="G210" s="123"/>
      <c r="H210" s="123">
        <v>50</v>
      </c>
      <c r="I210" s="123">
        <v>50</v>
      </c>
      <c r="J210" s="123">
        <v>50</v>
      </c>
      <c r="K210" s="123">
        <f t="shared" si="107"/>
        <v>0</v>
      </c>
      <c r="L210" s="118">
        <f t="shared" si="100"/>
        <v>100</v>
      </c>
      <c r="M210" s="123">
        <f t="shared" si="108"/>
        <v>0</v>
      </c>
      <c r="N210" s="123">
        <f t="shared" si="109"/>
        <v>100</v>
      </c>
      <c r="O210" s="123"/>
      <c r="P210" s="123">
        <f t="shared" si="111"/>
        <v>100</v>
      </c>
      <c r="Q210" s="123">
        <f t="shared" si="112"/>
        <v>50</v>
      </c>
      <c r="R210" s="123"/>
      <c r="S210" s="123">
        <f t="shared" si="116"/>
        <v>4.8583023211410323E-2</v>
      </c>
    </row>
    <row r="211" spans="1:19" ht="21.75" customHeight="1" x14ac:dyDescent="0.2">
      <c r="A211" s="131" t="s">
        <v>471</v>
      </c>
      <c r="B211" s="122" t="s">
        <v>346</v>
      </c>
      <c r="C211" s="122" t="s">
        <v>310</v>
      </c>
      <c r="D211" s="122" t="s">
        <v>505</v>
      </c>
      <c r="E211" s="127"/>
      <c r="F211" s="127"/>
      <c r="G211" s="123">
        <f t="shared" ref="G211:J212" si="118">SUM(G212)</f>
        <v>166.5</v>
      </c>
      <c r="H211" s="123">
        <f t="shared" si="118"/>
        <v>1318.9</v>
      </c>
      <c r="I211" s="123">
        <f t="shared" si="118"/>
        <v>1318.9003899999998</v>
      </c>
      <c r="J211" s="123">
        <f t="shared" si="118"/>
        <v>922.46353999999997</v>
      </c>
      <c r="K211" s="123">
        <f t="shared" si="107"/>
        <v>3.8999999969746568E-4</v>
      </c>
      <c r="L211" s="118">
        <f t="shared" si="100"/>
        <v>100.00002957009626</v>
      </c>
      <c r="M211" s="123">
        <f t="shared" si="108"/>
        <v>-396.43684999999982</v>
      </c>
      <c r="N211" s="123">
        <f t="shared" si="109"/>
        <v>69.941865738624898</v>
      </c>
      <c r="O211" s="123">
        <f t="shared" si="110"/>
        <v>554.03215615615613</v>
      </c>
      <c r="P211" s="123">
        <f t="shared" si="111"/>
        <v>69.94188642050193</v>
      </c>
      <c r="Q211" s="123">
        <f t="shared" si="112"/>
        <v>1152.4000000000001</v>
      </c>
      <c r="R211" s="123">
        <f t="shared" si="113"/>
        <v>792.13213213213226</v>
      </c>
      <c r="S211" s="123">
        <f t="shared" si="116"/>
        <v>0.89632135150999459</v>
      </c>
    </row>
    <row r="212" spans="1:19" ht="38.25" customHeight="1" x14ac:dyDescent="0.2">
      <c r="A212" s="125" t="s">
        <v>416</v>
      </c>
      <c r="B212" s="122" t="s">
        <v>346</v>
      </c>
      <c r="C212" s="122" t="s">
        <v>310</v>
      </c>
      <c r="D212" s="122" t="s">
        <v>505</v>
      </c>
      <c r="E212" s="127">
        <v>200</v>
      </c>
      <c r="F212" s="127"/>
      <c r="G212" s="123">
        <f t="shared" si="118"/>
        <v>166.5</v>
      </c>
      <c r="H212" s="123">
        <f t="shared" si="118"/>
        <v>1318.9</v>
      </c>
      <c r="I212" s="123">
        <f t="shared" si="118"/>
        <v>1318.9003899999998</v>
      </c>
      <c r="J212" s="123">
        <f t="shared" si="118"/>
        <v>922.46353999999997</v>
      </c>
      <c r="K212" s="123">
        <f t="shared" si="107"/>
        <v>3.8999999969746568E-4</v>
      </c>
      <c r="L212" s="118">
        <f t="shared" si="100"/>
        <v>100.00002957009626</v>
      </c>
      <c r="M212" s="123">
        <f t="shared" si="108"/>
        <v>-396.43684999999982</v>
      </c>
      <c r="N212" s="123">
        <f t="shared" si="109"/>
        <v>69.941865738624898</v>
      </c>
      <c r="O212" s="123">
        <f t="shared" si="110"/>
        <v>554.03215615615613</v>
      </c>
      <c r="P212" s="123">
        <f t="shared" si="111"/>
        <v>69.94188642050193</v>
      </c>
      <c r="Q212" s="123">
        <f t="shared" si="112"/>
        <v>1152.4000000000001</v>
      </c>
      <c r="R212" s="123">
        <f t="shared" si="113"/>
        <v>792.13213213213226</v>
      </c>
      <c r="S212" s="123">
        <f t="shared" si="116"/>
        <v>0.89632135150999459</v>
      </c>
    </row>
    <row r="213" spans="1:19" ht="36.75" customHeight="1" x14ac:dyDescent="0.2">
      <c r="A213" s="125" t="s">
        <v>418</v>
      </c>
      <c r="B213" s="122" t="s">
        <v>346</v>
      </c>
      <c r="C213" s="122" t="s">
        <v>310</v>
      </c>
      <c r="D213" s="122" t="s">
        <v>505</v>
      </c>
      <c r="E213" s="127">
        <v>240</v>
      </c>
      <c r="F213" s="127"/>
      <c r="G213" s="123">
        <v>166.5</v>
      </c>
      <c r="H213" s="123">
        <v>1318.9</v>
      </c>
      <c r="I213" s="123">
        <f>I214+I215+I216+I217</f>
        <v>1318.9003899999998</v>
      </c>
      <c r="J213" s="123">
        <f>J214+J215+J216+J217</f>
        <v>922.46353999999997</v>
      </c>
      <c r="K213" s="123">
        <f t="shared" si="107"/>
        <v>3.8999999969746568E-4</v>
      </c>
      <c r="L213" s="118">
        <f t="shared" si="100"/>
        <v>100.00002957009626</v>
      </c>
      <c r="M213" s="123">
        <f>J213-I213</f>
        <v>-396.43684999999982</v>
      </c>
      <c r="N213" s="123">
        <f t="shared" si="109"/>
        <v>69.941865738624898</v>
      </c>
      <c r="O213" s="123">
        <f t="shared" si="110"/>
        <v>554.03215615615613</v>
      </c>
      <c r="P213" s="123">
        <f t="shared" si="111"/>
        <v>69.94188642050193</v>
      </c>
      <c r="Q213" s="123">
        <f t="shared" si="112"/>
        <v>1152.4000000000001</v>
      </c>
      <c r="R213" s="123">
        <f t="shared" si="113"/>
        <v>792.13213213213226</v>
      </c>
      <c r="S213" s="123">
        <f t="shared" si="116"/>
        <v>0.89632135150999459</v>
      </c>
    </row>
    <row r="214" spans="1:19" ht="19.5" customHeight="1" x14ac:dyDescent="0.2">
      <c r="A214" s="125"/>
      <c r="B214" s="122" t="s">
        <v>346</v>
      </c>
      <c r="C214" s="122" t="s">
        <v>310</v>
      </c>
      <c r="D214" s="122" t="s">
        <v>505</v>
      </c>
      <c r="E214" s="127">
        <v>243</v>
      </c>
      <c r="F214" s="127">
        <v>226</v>
      </c>
      <c r="G214" s="123"/>
      <c r="H214" s="123"/>
      <c r="I214" s="123">
        <v>339.09125999999998</v>
      </c>
      <c r="J214" s="123"/>
      <c r="K214" s="123"/>
      <c r="L214" s="118"/>
      <c r="M214" s="123">
        <f t="shared" ref="M214:M217" si="119">J214-I214</f>
        <v>-339.09125999999998</v>
      </c>
      <c r="N214" s="123"/>
      <c r="O214" s="123"/>
      <c r="P214" s="123"/>
      <c r="Q214" s="123"/>
      <c r="R214" s="123"/>
      <c r="S214" s="123"/>
    </row>
    <row r="215" spans="1:19" ht="21" customHeight="1" x14ac:dyDescent="0.2">
      <c r="A215" s="125"/>
      <c r="B215" s="122" t="s">
        <v>346</v>
      </c>
      <c r="C215" s="122" t="s">
        <v>310</v>
      </c>
      <c r="D215" s="122" t="s">
        <v>505</v>
      </c>
      <c r="E215" s="127">
        <v>244</v>
      </c>
      <c r="F215" s="127">
        <v>222</v>
      </c>
      <c r="G215" s="123"/>
      <c r="H215" s="123"/>
      <c r="I215" s="123">
        <v>8</v>
      </c>
      <c r="J215" s="123">
        <v>8</v>
      </c>
      <c r="K215" s="123"/>
      <c r="L215" s="118"/>
      <c r="M215" s="123">
        <f t="shared" si="119"/>
        <v>0</v>
      </c>
      <c r="N215" s="123"/>
      <c r="O215" s="123"/>
      <c r="P215" s="123"/>
      <c r="Q215" s="123"/>
      <c r="R215" s="123"/>
      <c r="S215" s="123"/>
    </row>
    <row r="216" spans="1:19" ht="22.5" customHeight="1" x14ac:dyDescent="0.2">
      <c r="A216" s="125"/>
      <c r="B216" s="122" t="s">
        <v>346</v>
      </c>
      <c r="C216" s="122" t="s">
        <v>310</v>
      </c>
      <c r="D216" s="122" t="s">
        <v>505</v>
      </c>
      <c r="E216" s="127">
        <v>244</v>
      </c>
      <c r="F216" s="127">
        <v>225</v>
      </c>
      <c r="G216" s="123"/>
      <c r="H216" s="123"/>
      <c r="I216" s="123">
        <v>268</v>
      </c>
      <c r="J216" s="123">
        <v>253.46353999999999</v>
      </c>
      <c r="K216" s="123"/>
      <c r="L216" s="118"/>
      <c r="M216" s="123">
        <f t="shared" si="119"/>
        <v>-14.536460000000005</v>
      </c>
      <c r="N216" s="123"/>
      <c r="O216" s="123"/>
      <c r="P216" s="123"/>
      <c r="Q216" s="123"/>
      <c r="R216" s="123"/>
      <c r="S216" s="123"/>
    </row>
    <row r="217" spans="1:19" ht="21.75" customHeight="1" x14ac:dyDescent="0.2">
      <c r="A217" s="125"/>
      <c r="B217" s="122" t="s">
        <v>346</v>
      </c>
      <c r="C217" s="122" t="s">
        <v>310</v>
      </c>
      <c r="D217" s="122" t="s">
        <v>505</v>
      </c>
      <c r="E217" s="127">
        <v>247</v>
      </c>
      <c r="F217" s="127">
        <v>223</v>
      </c>
      <c r="G217" s="123"/>
      <c r="H217" s="123"/>
      <c r="I217" s="123">
        <v>703.80912999999998</v>
      </c>
      <c r="J217" s="123">
        <v>661</v>
      </c>
      <c r="K217" s="123"/>
      <c r="L217" s="118"/>
      <c r="M217" s="123">
        <f t="shared" si="119"/>
        <v>-42.809129999999982</v>
      </c>
      <c r="N217" s="123"/>
      <c r="O217" s="123"/>
      <c r="P217" s="123"/>
      <c r="Q217" s="123"/>
      <c r="R217" s="123"/>
      <c r="S217" s="123"/>
    </row>
    <row r="218" spans="1:19" s="119" customFormat="1" ht="22.9" customHeight="1" x14ac:dyDescent="0.2">
      <c r="A218" s="114" t="s">
        <v>506</v>
      </c>
      <c r="B218" s="115" t="s">
        <v>346</v>
      </c>
      <c r="C218" s="115" t="s">
        <v>316</v>
      </c>
      <c r="D218" s="115"/>
      <c r="E218" s="129"/>
      <c r="F218" s="129"/>
      <c r="G218" s="116">
        <f>G219</f>
        <v>4221</v>
      </c>
      <c r="H218" s="116">
        <f>H219</f>
        <v>9517.7999999999993</v>
      </c>
      <c r="I218" s="116">
        <f>I219</f>
        <v>9517.828379999999</v>
      </c>
      <c r="J218" s="116">
        <f>J219</f>
        <v>9517.828379999999</v>
      </c>
      <c r="K218" s="116">
        <f t="shared" si="107"/>
        <v>2.8379999999742722E-2</v>
      </c>
      <c r="L218" s="118">
        <f t="shared" si="100"/>
        <v>100.00029817815042</v>
      </c>
      <c r="M218" s="116">
        <f t="shared" si="108"/>
        <v>0</v>
      </c>
      <c r="N218" s="116">
        <f t="shared" si="109"/>
        <v>100</v>
      </c>
      <c r="O218" s="116">
        <f t="shared" si="110"/>
        <v>225.48752380952379</v>
      </c>
      <c r="P218" s="116">
        <f t="shared" si="111"/>
        <v>100.00029817815042</v>
      </c>
      <c r="Q218" s="116">
        <f t="shared" si="112"/>
        <v>5296.7999999999993</v>
      </c>
      <c r="R218" s="116">
        <f t="shared" si="113"/>
        <v>225.48685145700071</v>
      </c>
      <c r="S218" s="116">
        <f t="shared" ref="S218:S235" si="120">J218/$J$329*100</f>
        <v>9.2480975421551967</v>
      </c>
    </row>
    <row r="219" spans="1:19" ht="29.25" customHeight="1" x14ac:dyDescent="0.2">
      <c r="A219" s="125" t="s">
        <v>390</v>
      </c>
      <c r="B219" s="136">
        <v>5</v>
      </c>
      <c r="C219" s="137">
        <v>2</v>
      </c>
      <c r="D219" s="122" t="s">
        <v>391</v>
      </c>
      <c r="E219" s="139"/>
      <c r="F219" s="139"/>
      <c r="G219" s="123">
        <f>SUM(G220)</f>
        <v>4221</v>
      </c>
      <c r="H219" s="123">
        <f>SUM(H220)</f>
        <v>9517.7999999999993</v>
      </c>
      <c r="I219" s="123">
        <f>SUM(I220)</f>
        <v>9517.828379999999</v>
      </c>
      <c r="J219" s="123">
        <f>SUM(J220)</f>
        <v>9517.828379999999</v>
      </c>
      <c r="K219" s="123">
        <f t="shared" si="107"/>
        <v>2.8379999999742722E-2</v>
      </c>
      <c r="L219" s="118">
        <f t="shared" si="100"/>
        <v>100.00029817815042</v>
      </c>
      <c r="M219" s="123">
        <f t="shared" si="108"/>
        <v>0</v>
      </c>
      <c r="N219" s="123">
        <f t="shared" si="109"/>
        <v>100</v>
      </c>
      <c r="O219" s="123">
        <f t="shared" si="110"/>
        <v>225.48752380952379</v>
      </c>
      <c r="P219" s="123">
        <f t="shared" si="111"/>
        <v>100.00029817815042</v>
      </c>
      <c r="Q219" s="123">
        <f t="shared" si="112"/>
        <v>5296.7999999999993</v>
      </c>
      <c r="R219" s="123">
        <f t="shared" si="113"/>
        <v>225.48685145700071</v>
      </c>
      <c r="S219" s="123">
        <f t="shared" si="120"/>
        <v>9.2480975421551967</v>
      </c>
    </row>
    <row r="220" spans="1:19" ht="42.75" customHeight="1" x14ac:dyDescent="0.2">
      <c r="A220" s="142" t="s">
        <v>501</v>
      </c>
      <c r="B220" s="136">
        <v>5</v>
      </c>
      <c r="C220" s="137">
        <v>2</v>
      </c>
      <c r="D220" s="171">
        <v>4060000000</v>
      </c>
      <c r="E220" s="139"/>
      <c r="F220" s="139"/>
      <c r="G220" s="123">
        <f>G221+G224+G230+G233+G227</f>
        <v>4221</v>
      </c>
      <c r="H220" s="123">
        <f>H221+H224+H230+H233+H227</f>
        <v>9517.7999999999993</v>
      </c>
      <c r="I220" s="123">
        <f>I221+I224+I230+I233+I227</f>
        <v>9517.828379999999</v>
      </c>
      <c r="J220" s="123">
        <f>J221+J224+J230+J233+J227</f>
        <v>9517.828379999999</v>
      </c>
      <c r="K220" s="123">
        <f t="shared" si="107"/>
        <v>2.8379999999742722E-2</v>
      </c>
      <c r="L220" s="118">
        <f t="shared" si="100"/>
        <v>100.00029817815042</v>
      </c>
      <c r="M220" s="123">
        <f t="shared" si="108"/>
        <v>0</v>
      </c>
      <c r="N220" s="123">
        <f t="shared" si="109"/>
        <v>100</v>
      </c>
      <c r="O220" s="123">
        <f t="shared" si="110"/>
        <v>225.48752380952379</v>
      </c>
      <c r="P220" s="123">
        <f t="shared" si="111"/>
        <v>100.00029817815042</v>
      </c>
      <c r="Q220" s="123">
        <f t="shared" si="112"/>
        <v>5296.7999999999993</v>
      </c>
      <c r="R220" s="123">
        <f t="shared" si="113"/>
        <v>225.48685145700071</v>
      </c>
      <c r="S220" s="123">
        <f t="shared" si="120"/>
        <v>9.2480975421551967</v>
      </c>
    </row>
    <row r="221" spans="1:19" ht="51" customHeight="1" x14ac:dyDescent="0.2">
      <c r="A221" s="149" t="s">
        <v>507</v>
      </c>
      <c r="B221" s="136">
        <v>5</v>
      </c>
      <c r="C221" s="137">
        <v>2</v>
      </c>
      <c r="D221" s="171">
        <v>4060089101</v>
      </c>
      <c r="E221" s="139"/>
      <c r="F221" s="139"/>
      <c r="G221" s="123">
        <f t="shared" ref="G221:J222" si="121">SUM(G222)</f>
        <v>221</v>
      </c>
      <c r="H221" s="123">
        <f t="shared" si="121"/>
        <v>221</v>
      </c>
      <c r="I221" s="123">
        <f t="shared" si="121"/>
        <v>221</v>
      </c>
      <c r="J221" s="123">
        <f t="shared" si="121"/>
        <v>221</v>
      </c>
      <c r="K221" s="123">
        <f t="shared" si="107"/>
        <v>0</v>
      </c>
      <c r="L221" s="118">
        <f t="shared" si="100"/>
        <v>100</v>
      </c>
      <c r="M221" s="123">
        <f t="shared" si="108"/>
        <v>0</v>
      </c>
      <c r="N221" s="123">
        <f t="shared" si="109"/>
        <v>100</v>
      </c>
      <c r="O221" s="123">
        <f t="shared" si="110"/>
        <v>100</v>
      </c>
      <c r="P221" s="123">
        <f t="shared" si="111"/>
        <v>100</v>
      </c>
      <c r="Q221" s="123">
        <f t="shared" si="112"/>
        <v>0</v>
      </c>
      <c r="R221" s="123">
        <f t="shared" si="113"/>
        <v>100</v>
      </c>
      <c r="S221" s="123">
        <f t="shared" si="120"/>
        <v>0.21473696259443364</v>
      </c>
    </row>
    <row r="222" spans="1:19" ht="36.75" customHeight="1" x14ac:dyDescent="0.2">
      <c r="A222" s="125" t="s">
        <v>416</v>
      </c>
      <c r="B222" s="136">
        <v>5</v>
      </c>
      <c r="C222" s="137">
        <v>2</v>
      </c>
      <c r="D222" s="171">
        <v>4060089101</v>
      </c>
      <c r="E222" s="127">
        <v>200</v>
      </c>
      <c r="F222" s="127"/>
      <c r="G222" s="123">
        <f t="shared" si="121"/>
        <v>221</v>
      </c>
      <c r="H222" s="123">
        <f t="shared" si="121"/>
        <v>221</v>
      </c>
      <c r="I222" s="123">
        <f t="shared" si="121"/>
        <v>221</v>
      </c>
      <c r="J222" s="123">
        <f t="shared" si="121"/>
        <v>221</v>
      </c>
      <c r="K222" s="123">
        <f t="shared" si="107"/>
        <v>0</v>
      </c>
      <c r="L222" s="118">
        <f t="shared" si="100"/>
        <v>100</v>
      </c>
      <c r="M222" s="123">
        <f t="shared" si="108"/>
        <v>0</v>
      </c>
      <c r="N222" s="123">
        <f t="shared" si="109"/>
        <v>100</v>
      </c>
      <c r="O222" s="123">
        <f t="shared" si="110"/>
        <v>100</v>
      </c>
      <c r="P222" s="123">
        <f t="shared" si="111"/>
        <v>100</v>
      </c>
      <c r="Q222" s="123">
        <f t="shared" si="112"/>
        <v>0</v>
      </c>
      <c r="R222" s="123">
        <f t="shared" si="113"/>
        <v>100</v>
      </c>
      <c r="S222" s="123">
        <f t="shared" si="120"/>
        <v>0.21473696259443364</v>
      </c>
    </row>
    <row r="223" spans="1:19" ht="39.75" customHeight="1" x14ac:dyDescent="0.2">
      <c r="A223" s="125" t="s">
        <v>418</v>
      </c>
      <c r="B223" s="136">
        <v>5</v>
      </c>
      <c r="C223" s="137">
        <v>2</v>
      </c>
      <c r="D223" s="171">
        <v>4060089101</v>
      </c>
      <c r="E223" s="127">
        <v>244</v>
      </c>
      <c r="F223" s="127">
        <v>346</v>
      </c>
      <c r="G223" s="123">
        <v>221</v>
      </c>
      <c r="H223" s="123">
        <v>221</v>
      </c>
      <c r="I223" s="123">
        <v>221</v>
      </c>
      <c r="J223" s="123">
        <v>221</v>
      </c>
      <c r="K223" s="123">
        <f t="shared" si="107"/>
        <v>0</v>
      </c>
      <c r="L223" s="118">
        <f t="shared" si="100"/>
        <v>100</v>
      </c>
      <c r="M223" s="123">
        <f t="shared" si="108"/>
        <v>0</v>
      </c>
      <c r="N223" s="123">
        <f t="shared" si="109"/>
        <v>100</v>
      </c>
      <c r="O223" s="123">
        <f t="shared" si="110"/>
        <v>100</v>
      </c>
      <c r="P223" s="123">
        <f t="shared" si="111"/>
        <v>100</v>
      </c>
      <c r="Q223" s="123">
        <f t="shared" si="112"/>
        <v>0</v>
      </c>
      <c r="R223" s="123">
        <f t="shared" si="113"/>
        <v>100</v>
      </c>
      <c r="S223" s="123">
        <f t="shared" si="120"/>
        <v>0.21473696259443364</v>
      </c>
    </row>
    <row r="224" spans="1:19" ht="22.5" x14ac:dyDescent="0.2">
      <c r="A224" s="125" t="s">
        <v>508</v>
      </c>
      <c r="B224" s="136">
        <v>5</v>
      </c>
      <c r="C224" s="137">
        <v>2</v>
      </c>
      <c r="D224" s="139">
        <v>4060061100</v>
      </c>
      <c r="E224" s="127"/>
      <c r="F224" s="127"/>
      <c r="G224" s="123">
        <f t="shared" ref="G224:J225" si="122">SUM(G225)</f>
        <v>4000</v>
      </c>
      <c r="H224" s="123">
        <f t="shared" si="122"/>
        <v>6169.8</v>
      </c>
      <c r="I224" s="123">
        <f t="shared" si="122"/>
        <v>6169.78838</v>
      </c>
      <c r="J224" s="123">
        <f t="shared" si="122"/>
        <v>6169.78838</v>
      </c>
      <c r="K224" s="123">
        <f t="shared" si="107"/>
        <v>-1.1620000000220898E-2</v>
      </c>
      <c r="L224" s="118">
        <f t="shared" si="100"/>
        <v>99.999811663262989</v>
      </c>
      <c r="M224" s="123">
        <f t="shared" si="108"/>
        <v>0</v>
      </c>
      <c r="N224" s="123">
        <f t="shared" si="109"/>
        <v>100</v>
      </c>
      <c r="O224" s="123">
        <f t="shared" si="110"/>
        <v>154.2447095</v>
      </c>
      <c r="P224" s="123">
        <f t="shared" si="111"/>
        <v>99.999811663262989</v>
      </c>
      <c r="Q224" s="123">
        <f t="shared" si="112"/>
        <v>2169.8000000000002</v>
      </c>
      <c r="R224" s="123">
        <f t="shared" si="113"/>
        <v>154.245</v>
      </c>
      <c r="S224" s="123">
        <f t="shared" si="120"/>
        <v>5.9949394415005939</v>
      </c>
    </row>
    <row r="225" spans="1:19" ht="21" customHeight="1" x14ac:dyDescent="0.2">
      <c r="A225" s="125" t="s">
        <v>445</v>
      </c>
      <c r="B225" s="136">
        <v>5</v>
      </c>
      <c r="C225" s="137">
        <v>2</v>
      </c>
      <c r="D225" s="139">
        <v>4060061100</v>
      </c>
      <c r="E225" s="127">
        <v>800</v>
      </c>
      <c r="F225" s="127"/>
      <c r="G225" s="123">
        <f t="shared" si="122"/>
        <v>4000</v>
      </c>
      <c r="H225" s="123">
        <f t="shared" si="122"/>
        <v>6169.8</v>
      </c>
      <c r="I225" s="123">
        <f t="shared" si="122"/>
        <v>6169.78838</v>
      </c>
      <c r="J225" s="123">
        <f t="shared" si="122"/>
        <v>6169.78838</v>
      </c>
      <c r="K225" s="123">
        <f t="shared" si="107"/>
        <v>-1.1620000000220898E-2</v>
      </c>
      <c r="L225" s="118">
        <f t="shared" si="100"/>
        <v>99.999811663262989</v>
      </c>
      <c r="M225" s="123">
        <f t="shared" si="108"/>
        <v>0</v>
      </c>
      <c r="N225" s="123">
        <f t="shared" si="109"/>
        <v>100</v>
      </c>
      <c r="O225" s="123">
        <f t="shared" si="110"/>
        <v>154.2447095</v>
      </c>
      <c r="P225" s="123">
        <f t="shared" si="111"/>
        <v>99.999811663262989</v>
      </c>
      <c r="Q225" s="123">
        <f t="shared" si="112"/>
        <v>2169.8000000000002</v>
      </c>
      <c r="R225" s="123">
        <f t="shared" si="113"/>
        <v>154.245</v>
      </c>
      <c r="S225" s="123">
        <f t="shared" si="120"/>
        <v>5.9949394415005939</v>
      </c>
    </row>
    <row r="226" spans="1:19" ht="56.25" x14ac:dyDescent="0.2">
      <c r="A226" s="125" t="s">
        <v>509</v>
      </c>
      <c r="B226" s="136">
        <v>5</v>
      </c>
      <c r="C226" s="137">
        <v>2</v>
      </c>
      <c r="D226" s="139">
        <v>4060061100</v>
      </c>
      <c r="E226" s="127">
        <v>811</v>
      </c>
      <c r="F226" s="127">
        <v>245</v>
      </c>
      <c r="G226" s="123">
        <v>4000</v>
      </c>
      <c r="H226" s="123">
        <v>6169.8</v>
      </c>
      <c r="I226" s="123">
        <v>6169.78838</v>
      </c>
      <c r="J226" s="123">
        <v>6169.78838</v>
      </c>
      <c r="K226" s="123">
        <f t="shared" si="107"/>
        <v>-1.1620000000220898E-2</v>
      </c>
      <c r="L226" s="118">
        <f t="shared" si="100"/>
        <v>99.999811663262989</v>
      </c>
      <c r="M226" s="123">
        <f t="shared" si="108"/>
        <v>0</v>
      </c>
      <c r="N226" s="123">
        <f t="shared" si="109"/>
        <v>100</v>
      </c>
      <c r="O226" s="123">
        <f t="shared" si="110"/>
        <v>154.2447095</v>
      </c>
      <c r="P226" s="123">
        <f t="shared" si="111"/>
        <v>99.999811663262989</v>
      </c>
      <c r="Q226" s="123">
        <f t="shared" si="112"/>
        <v>2169.8000000000002</v>
      </c>
      <c r="R226" s="123">
        <f t="shared" si="113"/>
        <v>154.245</v>
      </c>
      <c r="S226" s="123">
        <f t="shared" si="120"/>
        <v>5.9949394415005939</v>
      </c>
    </row>
    <row r="227" spans="1:19" ht="73.5" x14ac:dyDescent="0.2">
      <c r="A227" s="178" t="s">
        <v>510</v>
      </c>
      <c r="B227" s="136">
        <v>5</v>
      </c>
      <c r="C227" s="137">
        <v>2</v>
      </c>
      <c r="D227" s="171">
        <v>4060085150</v>
      </c>
      <c r="E227" s="127"/>
      <c r="F227" s="127"/>
      <c r="G227" s="123">
        <f>G228</f>
        <v>0</v>
      </c>
      <c r="H227" s="123">
        <f>H228</f>
        <v>1700</v>
      </c>
      <c r="I227" s="123">
        <f>I228</f>
        <v>1700</v>
      </c>
      <c r="J227" s="123">
        <f>J228</f>
        <v>1700</v>
      </c>
      <c r="K227" s="123">
        <f t="shared" si="107"/>
        <v>0</v>
      </c>
      <c r="L227" s="118">
        <f t="shared" si="100"/>
        <v>100</v>
      </c>
      <c r="M227" s="123">
        <f t="shared" si="108"/>
        <v>0</v>
      </c>
      <c r="N227" s="123">
        <f t="shared" si="109"/>
        <v>100</v>
      </c>
      <c r="O227" s="123"/>
      <c r="P227" s="123">
        <f t="shared" si="111"/>
        <v>100</v>
      </c>
      <c r="Q227" s="123">
        <f t="shared" si="112"/>
        <v>1700</v>
      </c>
      <c r="R227" s="123"/>
      <c r="S227" s="123">
        <f t="shared" si="120"/>
        <v>1.6518227891879511</v>
      </c>
    </row>
    <row r="228" spans="1:19" ht="18.75" customHeight="1" x14ac:dyDescent="0.2">
      <c r="A228" s="125" t="s">
        <v>445</v>
      </c>
      <c r="B228" s="136">
        <v>5</v>
      </c>
      <c r="C228" s="137">
        <v>2</v>
      </c>
      <c r="D228" s="171">
        <v>4060085150</v>
      </c>
      <c r="E228" s="127">
        <v>800</v>
      </c>
      <c r="F228" s="127"/>
      <c r="G228" s="123">
        <f>SUM(G229)</f>
        <v>0</v>
      </c>
      <c r="H228" s="123">
        <f>SUM(H229)</f>
        <v>1700</v>
      </c>
      <c r="I228" s="123">
        <f>SUM(I229)</f>
        <v>1700</v>
      </c>
      <c r="J228" s="123">
        <f>SUM(J229)</f>
        <v>1700</v>
      </c>
      <c r="K228" s="123">
        <f t="shared" si="107"/>
        <v>0</v>
      </c>
      <c r="L228" s="118">
        <f t="shared" si="100"/>
        <v>100</v>
      </c>
      <c r="M228" s="123">
        <f t="shared" si="108"/>
        <v>0</v>
      </c>
      <c r="N228" s="123">
        <f t="shared" si="109"/>
        <v>100</v>
      </c>
      <c r="O228" s="123"/>
      <c r="P228" s="123">
        <f t="shared" si="111"/>
        <v>100</v>
      </c>
      <c r="Q228" s="123">
        <f t="shared" si="112"/>
        <v>1700</v>
      </c>
      <c r="R228" s="123"/>
      <c r="S228" s="123">
        <f t="shared" si="120"/>
        <v>1.6518227891879511</v>
      </c>
    </row>
    <row r="229" spans="1:19" ht="63.75" customHeight="1" x14ac:dyDescent="0.2">
      <c r="A229" s="125" t="s">
        <v>509</v>
      </c>
      <c r="B229" s="136">
        <v>5</v>
      </c>
      <c r="C229" s="137">
        <v>2</v>
      </c>
      <c r="D229" s="171">
        <v>4060085150</v>
      </c>
      <c r="E229" s="127">
        <v>811</v>
      </c>
      <c r="F229" s="127">
        <v>245</v>
      </c>
      <c r="G229" s="123"/>
      <c r="H229" s="123">
        <v>1700</v>
      </c>
      <c r="I229" s="123">
        <v>1700</v>
      </c>
      <c r="J229" s="123">
        <v>1700</v>
      </c>
      <c r="K229" s="123">
        <f t="shared" si="107"/>
        <v>0</v>
      </c>
      <c r="L229" s="118">
        <f t="shared" si="100"/>
        <v>100</v>
      </c>
      <c r="M229" s="123">
        <f t="shared" si="108"/>
        <v>0</v>
      </c>
      <c r="N229" s="123">
        <f t="shared" si="109"/>
        <v>100</v>
      </c>
      <c r="O229" s="123"/>
      <c r="P229" s="123">
        <f t="shared" si="111"/>
        <v>100</v>
      </c>
      <c r="Q229" s="123">
        <f t="shared" si="112"/>
        <v>1700</v>
      </c>
      <c r="R229" s="123"/>
      <c r="S229" s="123">
        <f t="shared" si="120"/>
        <v>1.6518227891879511</v>
      </c>
    </row>
    <row r="230" spans="1:19" ht="51" customHeight="1" x14ac:dyDescent="0.2">
      <c r="A230" s="86" t="s">
        <v>511</v>
      </c>
      <c r="B230" s="136">
        <v>5</v>
      </c>
      <c r="C230" s="137">
        <v>2</v>
      </c>
      <c r="D230" s="122" t="s">
        <v>512</v>
      </c>
      <c r="E230" s="139"/>
      <c r="F230" s="139"/>
      <c r="G230" s="123">
        <f t="shared" ref="G230:J231" si="123">SUM(G231)</f>
        <v>0</v>
      </c>
      <c r="H230" s="123">
        <f t="shared" si="123"/>
        <v>339.9</v>
      </c>
      <c r="I230" s="123">
        <f t="shared" si="123"/>
        <v>339.96</v>
      </c>
      <c r="J230" s="123">
        <f t="shared" si="123"/>
        <v>339.96</v>
      </c>
      <c r="K230" s="123">
        <f t="shared" si="107"/>
        <v>6.0000000000002274E-2</v>
      </c>
      <c r="L230" s="118">
        <f t="shared" si="100"/>
        <v>100.01765225066197</v>
      </c>
      <c r="M230" s="123">
        <f t="shared" si="108"/>
        <v>0</v>
      </c>
      <c r="N230" s="123">
        <f t="shared" si="109"/>
        <v>100</v>
      </c>
      <c r="O230" s="123"/>
      <c r="P230" s="123">
        <f t="shared" si="111"/>
        <v>100.01765225066197</v>
      </c>
      <c r="Q230" s="123">
        <f t="shared" si="112"/>
        <v>339.9</v>
      </c>
      <c r="R230" s="123"/>
      <c r="S230" s="123">
        <f t="shared" si="120"/>
        <v>0.33032569141902107</v>
      </c>
    </row>
    <row r="231" spans="1:19" ht="33.75" x14ac:dyDescent="0.2">
      <c r="A231" s="125" t="s">
        <v>416</v>
      </c>
      <c r="B231" s="136">
        <v>5</v>
      </c>
      <c r="C231" s="137">
        <v>2</v>
      </c>
      <c r="D231" s="122" t="s">
        <v>512</v>
      </c>
      <c r="E231" s="127">
        <v>200</v>
      </c>
      <c r="F231" s="127"/>
      <c r="G231" s="123">
        <f t="shared" si="123"/>
        <v>0</v>
      </c>
      <c r="H231" s="123">
        <f t="shared" si="123"/>
        <v>339.9</v>
      </c>
      <c r="I231" s="123">
        <f t="shared" si="123"/>
        <v>339.96</v>
      </c>
      <c r="J231" s="123">
        <f t="shared" si="123"/>
        <v>339.96</v>
      </c>
      <c r="K231" s="123">
        <f t="shared" si="107"/>
        <v>6.0000000000002274E-2</v>
      </c>
      <c r="L231" s="118">
        <f t="shared" si="100"/>
        <v>100.01765225066197</v>
      </c>
      <c r="M231" s="123">
        <f t="shared" si="108"/>
        <v>0</v>
      </c>
      <c r="N231" s="123">
        <f t="shared" si="109"/>
        <v>100</v>
      </c>
      <c r="O231" s="123"/>
      <c r="P231" s="123">
        <f t="shared" si="111"/>
        <v>100.01765225066197</v>
      </c>
      <c r="Q231" s="123">
        <f t="shared" si="112"/>
        <v>339.9</v>
      </c>
      <c r="R231" s="123"/>
      <c r="S231" s="123">
        <f t="shared" si="120"/>
        <v>0.33032569141902107</v>
      </c>
    </row>
    <row r="232" spans="1:19" ht="43.5" customHeight="1" x14ac:dyDescent="0.2">
      <c r="A232" s="125" t="s">
        <v>418</v>
      </c>
      <c r="B232" s="136">
        <v>5</v>
      </c>
      <c r="C232" s="137">
        <v>2</v>
      </c>
      <c r="D232" s="122" t="s">
        <v>512</v>
      </c>
      <c r="E232" s="127">
        <v>244</v>
      </c>
      <c r="F232" s="127">
        <v>225</v>
      </c>
      <c r="G232" s="123"/>
      <c r="H232" s="123">
        <v>339.9</v>
      </c>
      <c r="I232" s="123">
        <v>339.96</v>
      </c>
      <c r="J232" s="123">
        <v>339.96</v>
      </c>
      <c r="K232" s="123">
        <f t="shared" si="107"/>
        <v>6.0000000000002274E-2</v>
      </c>
      <c r="L232" s="118">
        <f t="shared" si="100"/>
        <v>100.01765225066197</v>
      </c>
      <c r="M232" s="123">
        <f t="shared" si="108"/>
        <v>0</v>
      </c>
      <c r="N232" s="123">
        <f t="shared" si="109"/>
        <v>100</v>
      </c>
      <c r="O232" s="123"/>
      <c r="P232" s="123">
        <f t="shared" si="111"/>
        <v>100.01765225066197</v>
      </c>
      <c r="Q232" s="123">
        <f t="shared" si="112"/>
        <v>339.9</v>
      </c>
      <c r="R232" s="123"/>
      <c r="S232" s="123">
        <f t="shared" si="120"/>
        <v>0.33032569141902107</v>
      </c>
    </row>
    <row r="233" spans="1:19" ht="18.75" customHeight="1" x14ac:dyDescent="0.2">
      <c r="A233" s="86" t="s">
        <v>471</v>
      </c>
      <c r="B233" s="136"/>
      <c r="C233" s="137"/>
      <c r="D233" s="122" t="s">
        <v>505</v>
      </c>
      <c r="E233" s="127"/>
      <c r="F233" s="127"/>
      <c r="G233" s="123">
        <f t="shared" ref="G233:J234" si="124">SUM(G234)</f>
        <v>0</v>
      </c>
      <c r="H233" s="123">
        <f t="shared" si="124"/>
        <v>1087.0999999999999</v>
      </c>
      <c r="I233" s="123">
        <f t="shared" si="124"/>
        <v>1087.0800000000002</v>
      </c>
      <c r="J233" s="123">
        <f t="shared" si="124"/>
        <v>1087.0800000000002</v>
      </c>
      <c r="K233" s="123">
        <f t="shared" si="107"/>
        <v>-1.9999999999754436E-2</v>
      </c>
      <c r="L233" s="118">
        <f t="shared" si="100"/>
        <v>99.998160242847973</v>
      </c>
      <c r="M233" s="123">
        <f t="shared" si="108"/>
        <v>0</v>
      </c>
      <c r="N233" s="123">
        <f t="shared" si="109"/>
        <v>100</v>
      </c>
      <c r="O233" s="123"/>
      <c r="P233" s="123">
        <f t="shared" si="111"/>
        <v>99.998160242847973</v>
      </c>
      <c r="Q233" s="123">
        <f t="shared" si="112"/>
        <v>1087.0999999999999</v>
      </c>
      <c r="R233" s="123"/>
      <c r="S233" s="123">
        <f t="shared" si="120"/>
        <v>1.0562726574531989</v>
      </c>
    </row>
    <row r="234" spans="1:19" ht="39" customHeight="1" x14ac:dyDescent="0.2">
      <c r="A234" s="125" t="s">
        <v>416</v>
      </c>
      <c r="B234" s="136">
        <v>5</v>
      </c>
      <c r="C234" s="137">
        <v>2</v>
      </c>
      <c r="D234" s="122" t="s">
        <v>505</v>
      </c>
      <c r="E234" s="127">
        <v>200</v>
      </c>
      <c r="F234" s="127"/>
      <c r="G234" s="123">
        <f t="shared" si="124"/>
        <v>0</v>
      </c>
      <c r="H234" s="123">
        <f t="shared" si="124"/>
        <v>1087.0999999999999</v>
      </c>
      <c r="I234" s="123">
        <f t="shared" si="124"/>
        <v>1087.0800000000002</v>
      </c>
      <c r="J234" s="123">
        <f t="shared" si="124"/>
        <v>1087.0800000000002</v>
      </c>
      <c r="K234" s="123">
        <f t="shared" si="107"/>
        <v>-1.9999999999754436E-2</v>
      </c>
      <c r="L234" s="118">
        <f t="shared" si="100"/>
        <v>99.998160242847973</v>
      </c>
      <c r="M234" s="123">
        <f t="shared" si="108"/>
        <v>0</v>
      </c>
      <c r="N234" s="123">
        <f t="shared" si="109"/>
        <v>100</v>
      </c>
      <c r="O234" s="123"/>
      <c r="P234" s="123">
        <f t="shared" si="111"/>
        <v>99.998160242847973</v>
      </c>
      <c r="Q234" s="123">
        <f t="shared" si="112"/>
        <v>1087.0999999999999</v>
      </c>
      <c r="R234" s="123"/>
      <c r="S234" s="123">
        <f t="shared" si="120"/>
        <v>1.0562726574531989</v>
      </c>
    </row>
    <row r="235" spans="1:19" ht="48.75" customHeight="1" x14ac:dyDescent="0.2">
      <c r="A235" s="125" t="s">
        <v>418</v>
      </c>
      <c r="B235" s="136">
        <v>5</v>
      </c>
      <c r="C235" s="137">
        <v>2</v>
      </c>
      <c r="D235" s="122" t="s">
        <v>505</v>
      </c>
      <c r="E235" s="127">
        <v>240</v>
      </c>
      <c r="F235" s="127"/>
      <c r="G235" s="123"/>
      <c r="H235" s="123">
        <v>1087.0999999999999</v>
      </c>
      <c r="I235" s="123">
        <f>I236+I237+I238</f>
        <v>1087.0800000000002</v>
      </c>
      <c r="J235" s="123">
        <f>J236+J237+J238</f>
        <v>1087.0800000000002</v>
      </c>
      <c r="K235" s="123">
        <f t="shared" si="107"/>
        <v>-1.9999999999754436E-2</v>
      </c>
      <c r="L235" s="118">
        <f t="shared" si="100"/>
        <v>99.998160242847973</v>
      </c>
      <c r="M235" s="123">
        <f t="shared" si="108"/>
        <v>0</v>
      </c>
      <c r="N235" s="123">
        <f t="shared" si="109"/>
        <v>100</v>
      </c>
      <c r="O235" s="123"/>
      <c r="P235" s="123">
        <f t="shared" si="111"/>
        <v>99.998160242847973</v>
      </c>
      <c r="Q235" s="123">
        <f t="shared" si="112"/>
        <v>1087.0999999999999</v>
      </c>
      <c r="R235" s="123"/>
      <c r="S235" s="123">
        <f t="shared" si="120"/>
        <v>1.0562726574531989</v>
      </c>
    </row>
    <row r="236" spans="1:19" ht="24" customHeight="1" x14ac:dyDescent="0.2">
      <c r="A236" s="125"/>
      <c r="B236" s="136">
        <v>5</v>
      </c>
      <c r="C236" s="137">
        <v>2</v>
      </c>
      <c r="D236" s="122" t="s">
        <v>505</v>
      </c>
      <c r="E236" s="127">
        <v>244</v>
      </c>
      <c r="F236" s="127">
        <v>222</v>
      </c>
      <c r="G236" s="123"/>
      <c r="H236" s="123"/>
      <c r="I236" s="123">
        <v>6.88</v>
      </c>
      <c r="J236" s="123">
        <v>6.88</v>
      </c>
      <c r="K236" s="123"/>
      <c r="L236" s="118"/>
      <c r="M236" s="123">
        <f t="shared" si="108"/>
        <v>0</v>
      </c>
      <c r="N236" s="123"/>
      <c r="O236" s="123"/>
      <c r="P236" s="123"/>
      <c r="Q236" s="123"/>
      <c r="R236" s="123"/>
      <c r="S236" s="123"/>
    </row>
    <row r="237" spans="1:19" ht="19.5" customHeight="1" x14ac:dyDescent="0.2">
      <c r="A237" s="125"/>
      <c r="B237" s="136">
        <v>5</v>
      </c>
      <c r="C237" s="137">
        <v>2</v>
      </c>
      <c r="D237" s="122" t="s">
        <v>505</v>
      </c>
      <c r="E237" s="127">
        <v>244</v>
      </c>
      <c r="F237" s="127">
        <v>226</v>
      </c>
      <c r="G237" s="123"/>
      <c r="H237" s="123"/>
      <c r="I237" s="123">
        <v>1080</v>
      </c>
      <c r="J237" s="123">
        <v>1080</v>
      </c>
      <c r="K237" s="123"/>
      <c r="L237" s="118"/>
      <c r="M237" s="123">
        <f t="shared" si="108"/>
        <v>0</v>
      </c>
      <c r="N237" s="123"/>
      <c r="O237" s="123"/>
      <c r="P237" s="123"/>
      <c r="Q237" s="123"/>
      <c r="R237" s="123"/>
      <c r="S237" s="123"/>
    </row>
    <row r="238" spans="1:19" ht="18.75" customHeight="1" x14ac:dyDescent="0.2">
      <c r="A238" s="125"/>
      <c r="B238" s="136">
        <v>5</v>
      </c>
      <c r="C238" s="137">
        <v>2</v>
      </c>
      <c r="D238" s="122" t="s">
        <v>505</v>
      </c>
      <c r="E238" s="127">
        <v>244</v>
      </c>
      <c r="F238" s="127">
        <v>346</v>
      </c>
      <c r="G238" s="123"/>
      <c r="H238" s="123"/>
      <c r="I238" s="123">
        <v>0.2</v>
      </c>
      <c r="J238" s="123">
        <v>0.2</v>
      </c>
      <c r="K238" s="123"/>
      <c r="L238" s="118"/>
      <c r="M238" s="123">
        <f t="shared" si="108"/>
        <v>0</v>
      </c>
      <c r="N238" s="123"/>
      <c r="O238" s="123"/>
      <c r="P238" s="123"/>
      <c r="Q238" s="123"/>
      <c r="R238" s="123"/>
      <c r="S238" s="123"/>
    </row>
    <row r="239" spans="1:19" s="119" customFormat="1" ht="21.75" customHeight="1" x14ac:dyDescent="0.2">
      <c r="A239" s="114" t="s">
        <v>513</v>
      </c>
      <c r="B239" s="115" t="s">
        <v>346</v>
      </c>
      <c r="C239" s="115" t="s">
        <v>311</v>
      </c>
      <c r="D239" s="115"/>
      <c r="E239" s="129"/>
      <c r="F239" s="129"/>
      <c r="G239" s="116">
        <f t="shared" ref="G239:J240" si="125">G240</f>
        <v>4165.2</v>
      </c>
      <c r="H239" s="116">
        <f t="shared" si="125"/>
        <v>8331.4</v>
      </c>
      <c r="I239" s="116">
        <f t="shared" si="125"/>
        <v>8331.355230000001</v>
      </c>
      <c r="J239" s="116">
        <f t="shared" si="125"/>
        <v>3232.6484799999998</v>
      </c>
      <c r="K239" s="116">
        <f t="shared" si="107"/>
        <v>-4.4769999998607091E-2</v>
      </c>
      <c r="L239" s="118">
        <f t="shared" si="100"/>
        <v>99.999462635331412</v>
      </c>
      <c r="M239" s="116">
        <f t="shared" si="108"/>
        <v>-5098.7067500000012</v>
      </c>
      <c r="N239" s="116">
        <f t="shared" si="109"/>
        <v>38.800992044604001</v>
      </c>
      <c r="O239" s="116">
        <f t="shared" si="110"/>
        <v>77.610882550657834</v>
      </c>
      <c r="P239" s="116">
        <f t="shared" si="111"/>
        <v>38.800783541781691</v>
      </c>
      <c r="Q239" s="116">
        <f t="shared" si="112"/>
        <v>4166.2</v>
      </c>
      <c r="R239" s="116">
        <f t="shared" si="113"/>
        <v>200.02400845097475</v>
      </c>
      <c r="S239" s="116">
        <f>J239/$J$329*100</f>
        <v>3.1410367227634057</v>
      </c>
    </row>
    <row r="240" spans="1:19" ht="44.25" customHeight="1" x14ac:dyDescent="0.2">
      <c r="A240" s="125" t="s">
        <v>495</v>
      </c>
      <c r="B240" s="122" t="s">
        <v>346</v>
      </c>
      <c r="C240" s="137">
        <v>3</v>
      </c>
      <c r="D240" s="122" t="s">
        <v>496</v>
      </c>
      <c r="E240" s="127"/>
      <c r="F240" s="127"/>
      <c r="G240" s="127">
        <f t="shared" si="125"/>
        <v>4165.2</v>
      </c>
      <c r="H240" s="127">
        <f t="shared" si="125"/>
        <v>8331.4</v>
      </c>
      <c r="I240" s="127">
        <f t="shared" si="125"/>
        <v>8331.355230000001</v>
      </c>
      <c r="J240" s="127">
        <f t="shared" si="125"/>
        <v>3232.6484799999998</v>
      </c>
      <c r="K240" s="123">
        <f t="shared" si="107"/>
        <v>-4.4769999998607091E-2</v>
      </c>
      <c r="L240" s="118">
        <f t="shared" si="100"/>
        <v>99.999462635331412</v>
      </c>
      <c r="M240" s="123">
        <f t="shared" si="108"/>
        <v>-5098.7067500000012</v>
      </c>
      <c r="N240" s="123">
        <f t="shared" si="109"/>
        <v>38.800992044604001</v>
      </c>
      <c r="O240" s="123">
        <f t="shared" si="110"/>
        <v>77.610882550657834</v>
      </c>
      <c r="P240" s="123">
        <f t="shared" si="111"/>
        <v>38.800783541781691</v>
      </c>
      <c r="Q240" s="123">
        <f t="shared" si="112"/>
        <v>4166.2</v>
      </c>
      <c r="R240" s="123">
        <f t="shared" si="113"/>
        <v>200.02400845097475</v>
      </c>
      <c r="S240" s="123">
        <f>J240/$J$329*100</f>
        <v>3.1410367227634057</v>
      </c>
    </row>
    <row r="241" spans="1:19" ht="61.5" customHeight="1" x14ac:dyDescent="0.2">
      <c r="A241" s="86" t="s">
        <v>497</v>
      </c>
      <c r="B241" s="137">
        <v>5</v>
      </c>
      <c r="C241" s="137">
        <v>3</v>
      </c>
      <c r="D241" s="176" t="s">
        <v>498</v>
      </c>
      <c r="E241" s="135"/>
      <c r="F241" s="135"/>
      <c r="G241" s="123">
        <f>G243+G242</f>
        <v>4165.2</v>
      </c>
      <c r="H241" s="123">
        <f>H243</f>
        <v>8331.4</v>
      </c>
      <c r="I241" s="123">
        <f>I243</f>
        <v>8331.355230000001</v>
      </c>
      <c r="J241" s="123">
        <f>J243</f>
        <v>3232.6484799999998</v>
      </c>
      <c r="K241" s="123">
        <f t="shared" si="107"/>
        <v>-4.4769999998607091E-2</v>
      </c>
      <c r="L241" s="118">
        <f t="shared" si="100"/>
        <v>99.999462635331412</v>
      </c>
      <c r="M241" s="123">
        <f t="shared" si="108"/>
        <v>-5098.7067500000012</v>
      </c>
      <c r="N241" s="123">
        <f t="shared" si="109"/>
        <v>38.800992044604001</v>
      </c>
      <c r="O241" s="123">
        <f t="shared" si="110"/>
        <v>77.610882550657834</v>
      </c>
      <c r="P241" s="123">
        <f t="shared" si="111"/>
        <v>38.800783541781691</v>
      </c>
      <c r="Q241" s="123">
        <f t="shared" si="112"/>
        <v>4166.2</v>
      </c>
      <c r="R241" s="123">
        <f t="shared" si="113"/>
        <v>200.02400845097475</v>
      </c>
      <c r="S241" s="123">
        <f>J241/$J$329*100</f>
        <v>3.1410367227634057</v>
      </c>
    </row>
    <row r="242" spans="1:19" ht="22.5" customHeight="1" x14ac:dyDescent="0.2">
      <c r="A242" s="86"/>
      <c r="B242" s="137">
        <v>5</v>
      </c>
      <c r="C242" s="137">
        <v>3</v>
      </c>
      <c r="D242" s="176" t="s">
        <v>514</v>
      </c>
      <c r="E242" s="135">
        <v>240</v>
      </c>
      <c r="F242" s="135"/>
      <c r="G242" s="123">
        <v>675</v>
      </c>
      <c r="H242" s="123"/>
      <c r="I242" s="123"/>
      <c r="J242" s="123"/>
      <c r="K242" s="123"/>
      <c r="L242" s="118"/>
      <c r="M242" s="123"/>
      <c r="N242" s="123"/>
      <c r="O242" s="123"/>
      <c r="P242" s="123"/>
      <c r="Q242" s="123"/>
      <c r="R242" s="123"/>
      <c r="S242" s="123"/>
    </row>
    <row r="243" spans="1:19" ht="18" customHeight="1" x14ac:dyDescent="0.2">
      <c r="A243" s="86" t="s">
        <v>471</v>
      </c>
      <c r="B243" s="137">
        <v>5</v>
      </c>
      <c r="C243" s="137">
        <v>3</v>
      </c>
      <c r="D243" s="176" t="s">
        <v>515</v>
      </c>
      <c r="E243" s="135"/>
      <c r="F243" s="135"/>
      <c r="G243" s="127">
        <f>SUM(G244)</f>
        <v>3490.2</v>
      </c>
      <c r="H243" s="127">
        <f>SUM(H244)</f>
        <v>8331.4</v>
      </c>
      <c r="I243" s="123">
        <f>SUM(I244)</f>
        <v>8331.355230000001</v>
      </c>
      <c r="J243" s="123">
        <f>SUM(J244)</f>
        <v>3232.6484799999998</v>
      </c>
      <c r="K243" s="123">
        <f t="shared" si="107"/>
        <v>-4.4769999998607091E-2</v>
      </c>
      <c r="L243" s="118">
        <f t="shared" si="100"/>
        <v>99.999462635331412</v>
      </c>
      <c r="M243" s="123">
        <f t="shared" si="108"/>
        <v>-5098.7067500000012</v>
      </c>
      <c r="N243" s="123">
        <f t="shared" si="109"/>
        <v>38.800992044604001</v>
      </c>
      <c r="O243" s="123">
        <f t="shared" si="110"/>
        <v>92.62072316772678</v>
      </c>
      <c r="P243" s="123">
        <f t="shared" si="111"/>
        <v>38.800783541781691</v>
      </c>
      <c r="Q243" s="123">
        <f t="shared" si="112"/>
        <v>4841.2</v>
      </c>
      <c r="R243" s="123">
        <f t="shared" si="113"/>
        <v>238.70838347372643</v>
      </c>
      <c r="S243" s="123">
        <f>J243/$J$329*100</f>
        <v>3.1410367227634057</v>
      </c>
    </row>
    <row r="244" spans="1:19" ht="42.75" customHeight="1" x14ac:dyDescent="0.2">
      <c r="A244" s="125" t="s">
        <v>416</v>
      </c>
      <c r="B244" s="137">
        <v>5</v>
      </c>
      <c r="C244" s="137">
        <v>3</v>
      </c>
      <c r="D244" s="176" t="s">
        <v>515</v>
      </c>
      <c r="E244" s="135">
        <v>200</v>
      </c>
      <c r="F244" s="135"/>
      <c r="G244" s="127">
        <f>G245</f>
        <v>3490.2</v>
      </c>
      <c r="H244" s="127">
        <f>H245</f>
        <v>8331.4</v>
      </c>
      <c r="I244" s="123">
        <f>I245</f>
        <v>8331.355230000001</v>
      </c>
      <c r="J244" s="123">
        <f>J245</f>
        <v>3232.6484799999998</v>
      </c>
      <c r="K244" s="123">
        <f t="shared" si="107"/>
        <v>-4.4769999998607091E-2</v>
      </c>
      <c r="L244" s="118">
        <f t="shared" si="100"/>
        <v>99.999462635331412</v>
      </c>
      <c r="M244" s="123">
        <f t="shared" si="108"/>
        <v>-5098.7067500000012</v>
      </c>
      <c r="N244" s="123">
        <f t="shared" si="109"/>
        <v>38.800992044604001</v>
      </c>
      <c r="O244" s="123">
        <f t="shared" si="110"/>
        <v>92.62072316772678</v>
      </c>
      <c r="P244" s="123">
        <f t="shared" si="111"/>
        <v>38.800783541781691</v>
      </c>
      <c r="Q244" s="123">
        <f t="shared" si="112"/>
        <v>4841.2</v>
      </c>
      <c r="R244" s="123">
        <f t="shared" si="113"/>
        <v>238.70838347372643</v>
      </c>
      <c r="S244" s="123">
        <f>J244/$J$329*100</f>
        <v>3.1410367227634057</v>
      </c>
    </row>
    <row r="245" spans="1:19" ht="38.25" customHeight="1" x14ac:dyDescent="0.2">
      <c r="A245" s="86" t="s">
        <v>418</v>
      </c>
      <c r="B245" s="137">
        <v>5</v>
      </c>
      <c r="C245" s="137">
        <v>3</v>
      </c>
      <c r="D245" s="176" t="s">
        <v>515</v>
      </c>
      <c r="E245" s="135">
        <v>240</v>
      </c>
      <c r="F245" s="135"/>
      <c r="G245" s="127">
        <v>3490.2</v>
      </c>
      <c r="H245" s="127">
        <v>8331.4</v>
      </c>
      <c r="I245" s="123">
        <f>I246+I247+I248+I249+I250+I251</f>
        <v>8331.355230000001</v>
      </c>
      <c r="J245" s="123">
        <f>J246+J247+J248+J249+J250+J251</f>
        <v>3232.6484799999998</v>
      </c>
      <c r="K245" s="123">
        <f t="shared" si="107"/>
        <v>-4.4769999998607091E-2</v>
      </c>
      <c r="L245" s="118">
        <f t="shared" si="100"/>
        <v>99.999462635331412</v>
      </c>
      <c r="M245" s="123">
        <f>J245-I245</f>
        <v>-5098.7067500000012</v>
      </c>
      <c r="N245" s="123">
        <f t="shared" si="109"/>
        <v>38.800992044604001</v>
      </c>
      <c r="O245" s="123">
        <f t="shared" si="110"/>
        <v>92.62072316772678</v>
      </c>
      <c r="P245" s="123">
        <f t="shared" si="111"/>
        <v>38.800783541781691</v>
      </c>
      <c r="Q245" s="123">
        <f t="shared" si="112"/>
        <v>4841.2</v>
      </c>
      <c r="R245" s="123">
        <f t="shared" si="113"/>
        <v>238.70838347372643</v>
      </c>
      <c r="S245" s="123">
        <f>J245/$J$329*100</f>
        <v>3.1410367227634057</v>
      </c>
    </row>
    <row r="246" spans="1:19" ht="21.75" customHeight="1" x14ac:dyDescent="0.2">
      <c r="A246" s="86"/>
      <c r="B246" s="137">
        <v>5</v>
      </c>
      <c r="C246" s="137">
        <v>3</v>
      </c>
      <c r="D246" s="176" t="s">
        <v>515</v>
      </c>
      <c r="E246" s="135">
        <v>244</v>
      </c>
      <c r="F246" s="135">
        <v>222</v>
      </c>
      <c r="G246" s="127"/>
      <c r="H246" s="127"/>
      <c r="I246" s="123">
        <v>23.9</v>
      </c>
      <c r="J246" s="123">
        <v>23.9</v>
      </c>
      <c r="K246" s="123"/>
      <c r="L246" s="118"/>
      <c r="M246" s="123">
        <f t="shared" ref="M246:M251" si="126">J246-I246</f>
        <v>0</v>
      </c>
      <c r="N246" s="123"/>
      <c r="O246" s="123"/>
      <c r="P246" s="123"/>
      <c r="Q246" s="123"/>
      <c r="R246" s="123"/>
      <c r="S246" s="123"/>
    </row>
    <row r="247" spans="1:19" ht="23.25" customHeight="1" x14ac:dyDescent="0.2">
      <c r="A247" s="86"/>
      <c r="B247" s="137">
        <v>5</v>
      </c>
      <c r="C247" s="137">
        <v>3</v>
      </c>
      <c r="D247" s="176" t="s">
        <v>515</v>
      </c>
      <c r="E247" s="135">
        <v>244</v>
      </c>
      <c r="F247" s="135">
        <v>223</v>
      </c>
      <c r="G247" s="127"/>
      <c r="H247" s="127"/>
      <c r="I247" s="123">
        <v>43.208640000000003</v>
      </c>
      <c r="J247" s="123">
        <v>43.208640000000003</v>
      </c>
      <c r="K247" s="123"/>
      <c r="L247" s="118"/>
      <c r="M247" s="123">
        <f t="shared" si="126"/>
        <v>0</v>
      </c>
      <c r="N247" s="123"/>
      <c r="O247" s="123"/>
      <c r="P247" s="123"/>
      <c r="Q247" s="123"/>
      <c r="R247" s="123"/>
      <c r="S247" s="123"/>
    </row>
    <row r="248" spans="1:19" ht="20.25" customHeight="1" x14ac:dyDescent="0.2">
      <c r="A248" s="86"/>
      <c r="B248" s="137">
        <v>5</v>
      </c>
      <c r="C248" s="137">
        <v>3</v>
      </c>
      <c r="D248" s="176" t="s">
        <v>515</v>
      </c>
      <c r="E248" s="135">
        <v>244</v>
      </c>
      <c r="F248" s="135">
        <v>225</v>
      </c>
      <c r="G248" s="127"/>
      <c r="H248" s="127"/>
      <c r="I248" s="123">
        <v>6724.5052800000003</v>
      </c>
      <c r="J248" s="123">
        <v>1735.1534999999999</v>
      </c>
      <c r="K248" s="123"/>
      <c r="L248" s="118"/>
      <c r="M248" s="123">
        <f t="shared" si="126"/>
        <v>-4989.3517800000009</v>
      </c>
      <c r="N248" s="123"/>
      <c r="O248" s="123"/>
      <c r="P248" s="123"/>
      <c r="Q248" s="123"/>
      <c r="R248" s="123"/>
      <c r="S248" s="123"/>
    </row>
    <row r="249" spans="1:19" ht="19.5" customHeight="1" x14ac:dyDescent="0.2">
      <c r="A249" s="86"/>
      <c r="B249" s="137">
        <v>5</v>
      </c>
      <c r="C249" s="137">
        <v>3</v>
      </c>
      <c r="D249" s="176" t="s">
        <v>515</v>
      </c>
      <c r="E249" s="135">
        <v>244</v>
      </c>
      <c r="F249" s="135">
        <v>226</v>
      </c>
      <c r="G249" s="127"/>
      <c r="H249" s="127"/>
      <c r="I249" s="123">
        <v>102.9825</v>
      </c>
      <c r="J249" s="123">
        <v>102.982</v>
      </c>
      <c r="K249" s="123"/>
      <c r="L249" s="118"/>
      <c r="M249" s="123">
        <f t="shared" si="126"/>
        <v>-5.0000000000238742E-4</v>
      </c>
      <c r="N249" s="123"/>
      <c r="O249" s="123"/>
      <c r="P249" s="123"/>
      <c r="Q249" s="123"/>
      <c r="R249" s="123"/>
      <c r="S249" s="123"/>
    </row>
    <row r="250" spans="1:19" ht="22.5" customHeight="1" x14ac:dyDescent="0.2">
      <c r="A250" s="86"/>
      <c r="B250" s="137">
        <v>5</v>
      </c>
      <c r="C250" s="137">
        <v>3</v>
      </c>
      <c r="D250" s="176" t="s">
        <v>515</v>
      </c>
      <c r="E250" s="135">
        <v>244</v>
      </c>
      <c r="F250" s="135">
        <v>346</v>
      </c>
      <c r="G250" s="127"/>
      <c r="H250" s="127"/>
      <c r="I250" s="123">
        <v>446.15881000000002</v>
      </c>
      <c r="J250" s="123">
        <v>446.15881000000002</v>
      </c>
      <c r="K250" s="123"/>
      <c r="L250" s="118"/>
      <c r="M250" s="123">
        <f t="shared" si="126"/>
        <v>0</v>
      </c>
      <c r="N250" s="123"/>
      <c r="O250" s="123"/>
      <c r="P250" s="123"/>
      <c r="Q250" s="123"/>
      <c r="R250" s="123"/>
      <c r="S250" s="123"/>
    </row>
    <row r="251" spans="1:19" ht="18" customHeight="1" x14ac:dyDescent="0.2">
      <c r="A251" s="86"/>
      <c r="B251" s="137">
        <v>5</v>
      </c>
      <c r="C251" s="137">
        <v>3</v>
      </c>
      <c r="D251" s="176" t="s">
        <v>515</v>
      </c>
      <c r="E251" s="135">
        <v>247</v>
      </c>
      <c r="F251" s="135">
        <v>223</v>
      </c>
      <c r="G251" s="127"/>
      <c r="H251" s="127"/>
      <c r="I251" s="123">
        <v>990.6</v>
      </c>
      <c r="J251" s="123">
        <v>881.24553000000003</v>
      </c>
      <c r="K251" s="123"/>
      <c r="L251" s="118"/>
      <c r="M251" s="123">
        <f t="shared" si="126"/>
        <v>-109.35446999999999</v>
      </c>
      <c r="N251" s="123"/>
      <c r="O251" s="123"/>
      <c r="P251" s="123"/>
      <c r="Q251" s="123"/>
      <c r="R251" s="123"/>
      <c r="S251" s="123"/>
    </row>
    <row r="252" spans="1:19" s="119" customFormat="1" ht="24" customHeight="1" x14ac:dyDescent="0.2">
      <c r="A252" s="172" t="s">
        <v>361</v>
      </c>
      <c r="B252" s="179">
        <v>6</v>
      </c>
      <c r="C252" s="179"/>
      <c r="D252" s="180"/>
      <c r="E252" s="181"/>
      <c r="F252" s="181"/>
      <c r="G252" s="116">
        <f>SUM(G253)</f>
        <v>550</v>
      </c>
      <c r="H252" s="116">
        <f>SUM(H253)</f>
        <v>3737.8999999999996</v>
      </c>
      <c r="I252" s="116">
        <f>SUM(I253)</f>
        <v>3737.85</v>
      </c>
      <c r="J252" s="116">
        <f>SUM(J253)</f>
        <v>3737.85</v>
      </c>
      <c r="K252" s="116">
        <f t="shared" si="107"/>
        <v>-4.9999999999727152E-2</v>
      </c>
      <c r="L252" s="118">
        <f t="shared" si="100"/>
        <v>99.998662350517677</v>
      </c>
      <c r="M252" s="116">
        <f t="shared" si="108"/>
        <v>0</v>
      </c>
      <c r="N252" s="116">
        <f t="shared" si="109"/>
        <v>100</v>
      </c>
      <c r="O252" s="116">
        <f t="shared" si="110"/>
        <v>679.60909090909092</v>
      </c>
      <c r="P252" s="116">
        <f t="shared" si="111"/>
        <v>99.998662350517677</v>
      </c>
      <c r="Q252" s="116">
        <f t="shared" si="112"/>
        <v>3187.8999999999996</v>
      </c>
      <c r="R252" s="116">
        <f t="shared" si="113"/>
        <v>679.61818181818171</v>
      </c>
      <c r="S252" s="116">
        <f t="shared" ref="S252:S274" si="127">J252/$J$329*100</f>
        <v>3.6319210662154018</v>
      </c>
    </row>
    <row r="253" spans="1:19" s="119" customFormat="1" ht="38.25" customHeight="1" x14ac:dyDescent="0.2">
      <c r="A253" s="172" t="s">
        <v>362</v>
      </c>
      <c r="B253" s="179">
        <v>6</v>
      </c>
      <c r="C253" s="179">
        <v>5</v>
      </c>
      <c r="D253" s="115"/>
      <c r="E253" s="129"/>
      <c r="F253" s="129"/>
      <c r="G253" s="116">
        <f t="shared" ref="G253:J254" si="128">G254</f>
        <v>550</v>
      </c>
      <c r="H253" s="116">
        <f t="shared" si="128"/>
        <v>3737.8999999999996</v>
      </c>
      <c r="I253" s="116">
        <f t="shared" si="128"/>
        <v>3737.85</v>
      </c>
      <c r="J253" s="116">
        <f t="shared" si="128"/>
        <v>3737.85</v>
      </c>
      <c r="K253" s="116">
        <f t="shared" si="107"/>
        <v>-4.9999999999727152E-2</v>
      </c>
      <c r="L253" s="118">
        <f t="shared" si="100"/>
        <v>99.998662350517677</v>
      </c>
      <c r="M253" s="116">
        <f t="shared" si="108"/>
        <v>0</v>
      </c>
      <c r="N253" s="116">
        <f t="shared" si="109"/>
        <v>100</v>
      </c>
      <c r="O253" s="116">
        <f t="shared" si="110"/>
        <v>679.60909090909092</v>
      </c>
      <c r="P253" s="116">
        <f t="shared" si="111"/>
        <v>99.998662350517677</v>
      </c>
      <c r="Q253" s="116">
        <f t="shared" si="112"/>
        <v>3187.8999999999996</v>
      </c>
      <c r="R253" s="116">
        <f t="shared" si="113"/>
        <v>679.61818181818171</v>
      </c>
      <c r="S253" s="116">
        <f t="shared" si="127"/>
        <v>3.6319210662154018</v>
      </c>
    </row>
    <row r="254" spans="1:19" ht="42.75" customHeight="1" x14ac:dyDescent="0.2">
      <c r="A254" s="125" t="s">
        <v>495</v>
      </c>
      <c r="B254" s="137">
        <v>6</v>
      </c>
      <c r="C254" s="137">
        <v>5</v>
      </c>
      <c r="D254" s="122" t="s">
        <v>496</v>
      </c>
      <c r="E254" s="127"/>
      <c r="F254" s="127"/>
      <c r="G254" s="127">
        <f t="shared" si="128"/>
        <v>550</v>
      </c>
      <c r="H254" s="127">
        <f t="shared" si="128"/>
        <v>3737.8999999999996</v>
      </c>
      <c r="I254" s="127">
        <f t="shared" si="128"/>
        <v>3737.85</v>
      </c>
      <c r="J254" s="127">
        <f t="shared" si="128"/>
        <v>3737.85</v>
      </c>
      <c r="K254" s="123">
        <f t="shared" si="107"/>
        <v>-4.9999999999727152E-2</v>
      </c>
      <c r="L254" s="118">
        <f t="shared" si="100"/>
        <v>99.998662350517677</v>
      </c>
      <c r="M254" s="123">
        <f t="shared" si="108"/>
        <v>0</v>
      </c>
      <c r="N254" s="123">
        <f t="shared" si="109"/>
        <v>100</v>
      </c>
      <c r="O254" s="123">
        <f t="shared" si="110"/>
        <v>679.60909090909092</v>
      </c>
      <c r="P254" s="123">
        <f t="shared" si="111"/>
        <v>99.998662350517677</v>
      </c>
      <c r="Q254" s="123">
        <f t="shared" si="112"/>
        <v>3187.8999999999996</v>
      </c>
      <c r="R254" s="123">
        <f t="shared" si="113"/>
        <v>679.61818181818171</v>
      </c>
      <c r="S254" s="123">
        <f t="shared" si="127"/>
        <v>3.6319210662154018</v>
      </c>
    </row>
    <row r="255" spans="1:19" ht="66.75" customHeight="1" x14ac:dyDescent="0.2">
      <c r="A255" s="86" t="s">
        <v>497</v>
      </c>
      <c r="B255" s="137">
        <v>6</v>
      </c>
      <c r="C255" s="137">
        <v>5</v>
      </c>
      <c r="D255" s="176" t="s">
        <v>498</v>
      </c>
      <c r="E255" s="135"/>
      <c r="F255" s="135"/>
      <c r="G255" s="123">
        <f>G256+G259+G262</f>
        <v>550</v>
      </c>
      <c r="H255" s="123">
        <f>H256+H259+H262</f>
        <v>3737.8999999999996</v>
      </c>
      <c r="I255" s="123">
        <f>I256+I259+I262</f>
        <v>3737.85</v>
      </c>
      <c r="J255" s="123">
        <f>J256+J259+J262</f>
        <v>3737.85</v>
      </c>
      <c r="K255" s="123">
        <f t="shared" si="107"/>
        <v>-4.9999999999727152E-2</v>
      </c>
      <c r="L255" s="118">
        <f t="shared" si="100"/>
        <v>99.998662350517677</v>
      </c>
      <c r="M255" s="123">
        <f t="shared" si="108"/>
        <v>0</v>
      </c>
      <c r="N255" s="123">
        <f t="shared" si="109"/>
        <v>100</v>
      </c>
      <c r="O255" s="123">
        <f t="shared" si="110"/>
        <v>679.60909090909092</v>
      </c>
      <c r="P255" s="123">
        <f t="shared" si="111"/>
        <v>99.998662350517677</v>
      </c>
      <c r="Q255" s="123">
        <f t="shared" si="112"/>
        <v>3187.8999999999996</v>
      </c>
      <c r="R255" s="123">
        <f t="shared" si="113"/>
        <v>679.61818181818171</v>
      </c>
      <c r="S255" s="123">
        <f t="shared" si="127"/>
        <v>3.6319210662154018</v>
      </c>
    </row>
    <row r="256" spans="1:19" ht="36" customHeight="1" x14ac:dyDescent="0.2">
      <c r="A256" s="182" t="s">
        <v>516</v>
      </c>
      <c r="B256" s="137">
        <v>6</v>
      </c>
      <c r="C256" s="137">
        <v>5</v>
      </c>
      <c r="D256" s="176" t="s">
        <v>517</v>
      </c>
      <c r="E256" s="135"/>
      <c r="F256" s="135"/>
      <c r="G256" s="123">
        <f>SUM(G257)</f>
        <v>550</v>
      </c>
      <c r="H256" s="123">
        <f>SUM(H257)</f>
        <v>550</v>
      </c>
      <c r="I256" s="123">
        <f>SUM(I257)</f>
        <v>550</v>
      </c>
      <c r="J256" s="123">
        <f>SUM(J257)</f>
        <v>550</v>
      </c>
      <c r="K256" s="123">
        <f t="shared" si="107"/>
        <v>0</v>
      </c>
      <c r="L256" s="118">
        <f t="shared" si="100"/>
        <v>100</v>
      </c>
      <c r="M256" s="123">
        <f t="shared" si="108"/>
        <v>0</v>
      </c>
      <c r="N256" s="123">
        <f t="shared" si="109"/>
        <v>100</v>
      </c>
      <c r="O256" s="123">
        <f t="shared" si="110"/>
        <v>100</v>
      </c>
      <c r="P256" s="123">
        <f t="shared" si="111"/>
        <v>100</v>
      </c>
      <c r="Q256" s="123">
        <f t="shared" si="112"/>
        <v>0</v>
      </c>
      <c r="R256" s="123">
        <f t="shared" si="113"/>
        <v>100</v>
      </c>
      <c r="S256" s="123">
        <f t="shared" si="127"/>
        <v>0.53441325532551354</v>
      </c>
    </row>
    <row r="257" spans="1:19" ht="39.75" customHeight="1" x14ac:dyDescent="0.2">
      <c r="A257" s="125" t="s">
        <v>416</v>
      </c>
      <c r="B257" s="137">
        <v>6</v>
      </c>
      <c r="C257" s="137">
        <v>5</v>
      </c>
      <c r="D257" s="176" t="s">
        <v>517</v>
      </c>
      <c r="E257" s="135">
        <v>200</v>
      </c>
      <c r="F257" s="135"/>
      <c r="G257" s="123">
        <f>G258</f>
        <v>550</v>
      </c>
      <c r="H257" s="123">
        <f>H258</f>
        <v>550</v>
      </c>
      <c r="I257" s="123">
        <f>I258</f>
        <v>550</v>
      </c>
      <c r="J257" s="123">
        <f>J258</f>
        <v>550</v>
      </c>
      <c r="K257" s="123">
        <f t="shared" si="107"/>
        <v>0</v>
      </c>
      <c r="L257" s="118">
        <f t="shared" si="100"/>
        <v>100</v>
      </c>
      <c r="M257" s="123">
        <f t="shared" si="108"/>
        <v>0</v>
      </c>
      <c r="N257" s="123">
        <f t="shared" si="109"/>
        <v>100</v>
      </c>
      <c r="O257" s="123">
        <f t="shared" si="110"/>
        <v>100</v>
      </c>
      <c r="P257" s="123">
        <f t="shared" si="111"/>
        <v>100</v>
      </c>
      <c r="Q257" s="123">
        <f t="shared" si="112"/>
        <v>0</v>
      </c>
      <c r="R257" s="123">
        <f t="shared" si="113"/>
        <v>100</v>
      </c>
      <c r="S257" s="123">
        <f t="shared" si="127"/>
        <v>0.53441325532551354</v>
      </c>
    </row>
    <row r="258" spans="1:19" ht="44.25" customHeight="1" x14ac:dyDescent="0.2">
      <c r="A258" s="86" t="s">
        <v>418</v>
      </c>
      <c r="B258" s="137">
        <v>6</v>
      </c>
      <c r="C258" s="137">
        <v>5</v>
      </c>
      <c r="D258" s="176" t="s">
        <v>517</v>
      </c>
      <c r="E258" s="135">
        <v>244</v>
      </c>
      <c r="F258" s="135">
        <v>310</v>
      </c>
      <c r="G258" s="123">
        <v>550</v>
      </c>
      <c r="H258" s="123">
        <v>550</v>
      </c>
      <c r="I258" s="123">
        <v>550</v>
      </c>
      <c r="J258" s="123">
        <v>550</v>
      </c>
      <c r="K258" s="123">
        <f t="shared" si="107"/>
        <v>0</v>
      </c>
      <c r="L258" s="118">
        <f t="shared" si="100"/>
        <v>100</v>
      </c>
      <c r="M258" s="123">
        <f t="shared" si="108"/>
        <v>0</v>
      </c>
      <c r="N258" s="123">
        <f t="shared" si="109"/>
        <v>100</v>
      </c>
      <c r="O258" s="123">
        <f t="shared" si="110"/>
        <v>100</v>
      </c>
      <c r="P258" s="123">
        <f t="shared" si="111"/>
        <v>100</v>
      </c>
      <c r="Q258" s="123">
        <f t="shared" si="112"/>
        <v>0</v>
      </c>
      <c r="R258" s="123">
        <f t="shared" si="113"/>
        <v>100</v>
      </c>
      <c r="S258" s="123">
        <f t="shared" si="127"/>
        <v>0.53441325532551354</v>
      </c>
    </row>
    <row r="259" spans="1:19" ht="38.25" customHeight="1" x14ac:dyDescent="0.2">
      <c r="A259" s="182" t="s">
        <v>518</v>
      </c>
      <c r="B259" s="137">
        <v>6</v>
      </c>
      <c r="C259" s="137">
        <v>5</v>
      </c>
      <c r="D259" s="176" t="s">
        <v>519</v>
      </c>
      <c r="E259" s="135"/>
      <c r="F259" s="135"/>
      <c r="G259" s="123">
        <f>SUM(G260)</f>
        <v>0</v>
      </c>
      <c r="H259" s="123">
        <f>SUM(H260)</f>
        <v>2799.7</v>
      </c>
      <c r="I259" s="123">
        <f>SUM(I260)</f>
        <v>2799.65</v>
      </c>
      <c r="J259" s="123">
        <f>SUM(J260)</f>
        <v>2799.65</v>
      </c>
      <c r="K259" s="123">
        <f t="shared" si="107"/>
        <v>-4.9999999999727152E-2</v>
      </c>
      <c r="L259" s="118">
        <f t="shared" si="100"/>
        <v>99.99821409436727</v>
      </c>
      <c r="M259" s="123">
        <f t="shared" si="108"/>
        <v>0</v>
      </c>
      <c r="N259" s="123">
        <f t="shared" si="109"/>
        <v>100</v>
      </c>
      <c r="O259" s="123"/>
      <c r="P259" s="123">
        <f t="shared" si="111"/>
        <v>99.99821409436727</v>
      </c>
      <c r="Q259" s="123">
        <f t="shared" si="112"/>
        <v>2799.7</v>
      </c>
      <c r="R259" s="123"/>
      <c r="S259" s="123">
        <f t="shared" si="127"/>
        <v>2.7203092186764986</v>
      </c>
    </row>
    <row r="260" spans="1:19" ht="38.25" customHeight="1" x14ac:dyDescent="0.2">
      <c r="A260" s="125" t="s">
        <v>416</v>
      </c>
      <c r="B260" s="137">
        <v>6</v>
      </c>
      <c r="C260" s="137">
        <v>5</v>
      </c>
      <c r="D260" s="176" t="s">
        <v>519</v>
      </c>
      <c r="E260" s="135">
        <v>200</v>
      </c>
      <c r="F260" s="135"/>
      <c r="G260" s="123">
        <f>G261</f>
        <v>0</v>
      </c>
      <c r="H260" s="123">
        <f>H261</f>
        <v>2799.7</v>
      </c>
      <c r="I260" s="123">
        <f>I261</f>
        <v>2799.65</v>
      </c>
      <c r="J260" s="123">
        <f>J261</f>
        <v>2799.65</v>
      </c>
      <c r="K260" s="123">
        <f t="shared" si="107"/>
        <v>-4.9999999999727152E-2</v>
      </c>
      <c r="L260" s="118">
        <f t="shared" si="100"/>
        <v>99.99821409436727</v>
      </c>
      <c r="M260" s="123">
        <f t="shared" si="108"/>
        <v>0</v>
      </c>
      <c r="N260" s="123">
        <f t="shared" si="109"/>
        <v>100</v>
      </c>
      <c r="O260" s="123"/>
      <c r="P260" s="123">
        <f t="shared" si="111"/>
        <v>99.99821409436727</v>
      </c>
      <c r="Q260" s="123">
        <f t="shared" si="112"/>
        <v>2799.7</v>
      </c>
      <c r="R260" s="123"/>
      <c r="S260" s="123">
        <f t="shared" si="127"/>
        <v>2.7203092186764986</v>
      </c>
    </row>
    <row r="261" spans="1:19" ht="38.25" customHeight="1" x14ac:dyDescent="0.2">
      <c r="A261" s="86" t="s">
        <v>418</v>
      </c>
      <c r="B261" s="137">
        <v>6</v>
      </c>
      <c r="C261" s="137">
        <v>5</v>
      </c>
      <c r="D261" s="176" t="s">
        <v>519</v>
      </c>
      <c r="E261" s="135">
        <v>244</v>
      </c>
      <c r="F261" s="135">
        <v>225</v>
      </c>
      <c r="G261" s="123"/>
      <c r="H261" s="123">
        <v>2799.7</v>
      </c>
      <c r="I261" s="123">
        <v>2799.65</v>
      </c>
      <c r="J261" s="123">
        <v>2799.65</v>
      </c>
      <c r="K261" s="123">
        <f t="shared" si="107"/>
        <v>-4.9999999999727152E-2</v>
      </c>
      <c r="L261" s="118">
        <f t="shared" si="100"/>
        <v>99.99821409436727</v>
      </c>
      <c r="M261" s="123">
        <f t="shared" si="108"/>
        <v>0</v>
      </c>
      <c r="N261" s="123">
        <f t="shared" si="109"/>
        <v>100</v>
      </c>
      <c r="O261" s="123"/>
      <c r="P261" s="123">
        <f t="shared" si="111"/>
        <v>99.99821409436727</v>
      </c>
      <c r="Q261" s="123">
        <f t="shared" si="112"/>
        <v>2799.7</v>
      </c>
      <c r="R261" s="123"/>
      <c r="S261" s="123">
        <f t="shared" si="127"/>
        <v>2.7203092186764986</v>
      </c>
    </row>
    <row r="262" spans="1:19" ht="18" customHeight="1" x14ac:dyDescent="0.2">
      <c r="A262" s="86" t="s">
        <v>471</v>
      </c>
      <c r="B262" s="137">
        <v>6</v>
      </c>
      <c r="C262" s="137">
        <v>5</v>
      </c>
      <c r="D262" s="176" t="s">
        <v>515</v>
      </c>
      <c r="E262" s="135"/>
      <c r="F262" s="135"/>
      <c r="G262" s="123">
        <f>SUM(G263)</f>
        <v>0</v>
      </c>
      <c r="H262" s="123">
        <f>SUM(H263)</f>
        <v>388.2</v>
      </c>
      <c r="I262" s="123">
        <f>SUM(I263)</f>
        <v>388.2</v>
      </c>
      <c r="J262" s="123">
        <f>SUM(J263)</f>
        <v>388.2</v>
      </c>
      <c r="K262" s="123">
        <f t="shared" ref="K262:K312" si="129">I262-H262</f>
        <v>0</v>
      </c>
      <c r="L262" s="118">
        <f t="shared" si="100"/>
        <v>100</v>
      </c>
      <c r="M262" s="123">
        <f t="shared" ref="M262:M329" si="130">J262-I262</f>
        <v>0</v>
      </c>
      <c r="N262" s="123">
        <f t="shared" ref="N262:N312" si="131">J262/I262*100</f>
        <v>100</v>
      </c>
      <c r="O262" s="123"/>
      <c r="P262" s="123">
        <f t="shared" ref="P262:P312" si="132">J262/H262*100</f>
        <v>100</v>
      </c>
      <c r="Q262" s="123">
        <f t="shared" ref="Q262:Q312" si="133">H262-G262</f>
        <v>388.2</v>
      </c>
      <c r="R262" s="123"/>
      <c r="S262" s="123">
        <f t="shared" si="127"/>
        <v>0.37719859221338975</v>
      </c>
    </row>
    <row r="263" spans="1:19" ht="38.25" customHeight="1" x14ac:dyDescent="0.2">
      <c r="A263" s="125" t="s">
        <v>416</v>
      </c>
      <c r="B263" s="137">
        <v>6</v>
      </c>
      <c r="C263" s="137">
        <v>5</v>
      </c>
      <c r="D263" s="176" t="s">
        <v>515</v>
      </c>
      <c r="E263" s="135">
        <v>200</v>
      </c>
      <c r="F263" s="135"/>
      <c r="G263" s="123">
        <f>G264</f>
        <v>0</v>
      </c>
      <c r="H263" s="123">
        <f>H264</f>
        <v>388.2</v>
      </c>
      <c r="I263" s="123">
        <f>I264</f>
        <v>388.2</v>
      </c>
      <c r="J263" s="123">
        <f>J264</f>
        <v>388.2</v>
      </c>
      <c r="K263" s="123">
        <f t="shared" si="129"/>
        <v>0</v>
      </c>
      <c r="L263" s="118">
        <f t="shared" si="100"/>
        <v>100</v>
      </c>
      <c r="M263" s="123">
        <f t="shared" si="130"/>
        <v>0</v>
      </c>
      <c r="N263" s="123">
        <f t="shared" si="131"/>
        <v>100</v>
      </c>
      <c r="O263" s="123"/>
      <c r="P263" s="123">
        <f t="shared" si="132"/>
        <v>100</v>
      </c>
      <c r="Q263" s="123">
        <f t="shared" si="133"/>
        <v>388.2</v>
      </c>
      <c r="R263" s="123"/>
      <c r="S263" s="123">
        <f t="shared" si="127"/>
        <v>0.37719859221338975</v>
      </c>
    </row>
    <row r="264" spans="1:19" ht="38.25" customHeight="1" x14ac:dyDescent="0.2">
      <c r="A264" s="86" t="s">
        <v>418</v>
      </c>
      <c r="B264" s="137">
        <v>6</v>
      </c>
      <c r="C264" s="137">
        <v>5</v>
      </c>
      <c r="D264" s="176" t="s">
        <v>515</v>
      </c>
      <c r="E264" s="135">
        <v>244</v>
      </c>
      <c r="F264" s="135">
        <v>226</v>
      </c>
      <c r="G264" s="123"/>
      <c r="H264" s="123">
        <v>388.2</v>
      </c>
      <c r="I264" s="123">
        <v>388.2</v>
      </c>
      <c r="J264" s="123">
        <v>388.2</v>
      </c>
      <c r="K264" s="123">
        <f t="shared" si="129"/>
        <v>0</v>
      </c>
      <c r="L264" s="118">
        <f t="shared" si="100"/>
        <v>100</v>
      </c>
      <c r="M264" s="123">
        <f t="shared" si="130"/>
        <v>0</v>
      </c>
      <c r="N264" s="123">
        <f t="shared" si="131"/>
        <v>100</v>
      </c>
      <c r="O264" s="123"/>
      <c r="P264" s="123">
        <f t="shared" si="132"/>
        <v>100</v>
      </c>
      <c r="Q264" s="123">
        <f t="shared" si="133"/>
        <v>388.2</v>
      </c>
      <c r="R264" s="123"/>
      <c r="S264" s="123">
        <f t="shared" si="127"/>
        <v>0.37719859221338975</v>
      </c>
    </row>
    <row r="265" spans="1:19" s="119" customFormat="1" ht="19.5" customHeight="1" x14ac:dyDescent="0.2">
      <c r="A265" s="120" t="s">
        <v>365</v>
      </c>
      <c r="B265" s="164">
        <v>8</v>
      </c>
      <c r="C265" s="129"/>
      <c r="D265" s="129"/>
      <c r="E265" s="129"/>
      <c r="F265" s="129"/>
      <c r="G265" s="116">
        <f>G266+G279</f>
        <v>7888.6</v>
      </c>
      <c r="H265" s="116">
        <f>H266+H279</f>
        <v>9711.1</v>
      </c>
      <c r="I265" s="116">
        <f>I266+I279</f>
        <v>9711.1134000000002</v>
      </c>
      <c r="J265" s="116">
        <f>J266+J279</f>
        <v>9669.8965000000007</v>
      </c>
      <c r="K265" s="116">
        <f t="shared" si="129"/>
        <v>1.3399999999819556E-2</v>
      </c>
      <c r="L265" s="118">
        <f t="shared" si="100"/>
        <v>100.0001379864279</v>
      </c>
      <c r="M265" s="116">
        <f t="shared" si="130"/>
        <v>-41.216899999999441</v>
      </c>
      <c r="N265" s="116">
        <f t="shared" si="131"/>
        <v>99.575569779671198</v>
      </c>
      <c r="O265" s="116">
        <f t="shared" ref="O265:O325" si="134">J265/G265*100</f>
        <v>122.58064168547018</v>
      </c>
      <c r="P265" s="116">
        <f t="shared" si="132"/>
        <v>99.575707180443004</v>
      </c>
      <c r="Q265" s="116">
        <f t="shared" si="133"/>
        <v>1822.5</v>
      </c>
      <c r="R265" s="116">
        <f t="shared" ref="R265:R325" si="135">H265/G265*100</f>
        <v>123.10295869989605</v>
      </c>
      <c r="S265" s="116">
        <f t="shared" si="127"/>
        <v>9.3958561222287109</v>
      </c>
    </row>
    <row r="266" spans="1:19" s="119" customFormat="1" ht="19.5" customHeight="1" x14ac:dyDescent="0.2">
      <c r="A266" s="120" t="s">
        <v>520</v>
      </c>
      <c r="B266" s="164">
        <v>8</v>
      </c>
      <c r="C266" s="183">
        <v>1</v>
      </c>
      <c r="D266" s="129"/>
      <c r="E266" s="129"/>
      <c r="F266" s="129"/>
      <c r="G266" s="116">
        <f>G267</f>
        <v>7533.6</v>
      </c>
      <c r="H266" s="116">
        <f>H267</f>
        <v>9260.1</v>
      </c>
      <c r="I266" s="116">
        <f>I267</f>
        <v>9260.1134000000002</v>
      </c>
      <c r="J266" s="116">
        <f>J267</f>
        <v>9218.8965000000007</v>
      </c>
      <c r="K266" s="116">
        <f t="shared" si="129"/>
        <v>1.3399999999819556E-2</v>
      </c>
      <c r="L266" s="118">
        <f t="shared" si="100"/>
        <v>100.00014470686061</v>
      </c>
      <c r="M266" s="116">
        <f t="shared" si="130"/>
        <v>-41.216899999999441</v>
      </c>
      <c r="N266" s="116">
        <f t="shared" si="131"/>
        <v>99.554898539363464</v>
      </c>
      <c r="O266" s="116">
        <f t="shared" si="134"/>
        <v>122.37040060528832</v>
      </c>
      <c r="P266" s="116">
        <f t="shared" si="132"/>
        <v>99.555042602131721</v>
      </c>
      <c r="Q266" s="116">
        <f t="shared" si="133"/>
        <v>1726.5</v>
      </c>
      <c r="R266" s="116">
        <f t="shared" si="135"/>
        <v>122.91733035998726</v>
      </c>
      <c r="S266" s="116">
        <f t="shared" si="127"/>
        <v>8.9576372528617885</v>
      </c>
    </row>
    <row r="267" spans="1:19" ht="38.25" customHeight="1" x14ac:dyDescent="0.2">
      <c r="A267" s="121" t="s">
        <v>390</v>
      </c>
      <c r="B267" s="151">
        <v>8</v>
      </c>
      <c r="C267" s="152">
        <v>1</v>
      </c>
      <c r="D267" s="122" t="s">
        <v>391</v>
      </c>
      <c r="E267" s="127"/>
      <c r="F267" s="127"/>
      <c r="G267" s="123">
        <f>SUM(G268)</f>
        <v>7533.6</v>
      </c>
      <c r="H267" s="123">
        <f>SUM(H268)</f>
        <v>9260.1</v>
      </c>
      <c r="I267" s="123">
        <f>SUM(I268)</f>
        <v>9260.1134000000002</v>
      </c>
      <c r="J267" s="123">
        <f>SUM(J268)</f>
        <v>9218.8965000000007</v>
      </c>
      <c r="K267" s="123">
        <f t="shared" si="129"/>
        <v>1.3399999999819556E-2</v>
      </c>
      <c r="L267" s="118">
        <f t="shared" ref="L267:L328" si="136">I267/H267*100</f>
        <v>100.00014470686061</v>
      </c>
      <c r="M267" s="123">
        <f t="shared" si="130"/>
        <v>-41.216899999999441</v>
      </c>
      <c r="N267" s="123">
        <f t="shared" si="131"/>
        <v>99.554898539363464</v>
      </c>
      <c r="O267" s="123">
        <f t="shared" si="134"/>
        <v>122.37040060528832</v>
      </c>
      <c r="P267" s="123">
        <f t="shared" si="132"/>
        <v>99.555042602131721</v>
      </c>
      <c r="Q267" s="123">
        <f t="shared" si="133"/>
        <v>1726.5</v>
      </c>
      <c r="R267" s="123">
        <f t="shared" si="135"/>
        <v>122.91733035998726</v>
      </c>
      <c r="S267" s="123">
        <f t="shared" si="127"/>
        <v>8.9576372528617885</v>
      </c>
    </row>
    <row r="268" spans="1:19" ht="38.25" customHeight="1" x14ac:dyDescent="0.2">
      <c r="A268" s="125" t="s">
        <v>461</v>
      </c>
      <c r="B268" s="151">
        <v>8</v>
      </c>
      <c r="C268" s="152">
        <v>1</v>
      </c>
      <c r="D268" s="122" t="s">
        <v>521</v>
      </c>
      <c r="E268" s="127"/>
      <c r="F268" s="127"/>
      <c r="G268" s="123">
        <f>SUM(G269)+G272</f>
        <v>7533.6</v>
      </c>
      <c r="H268" s="123">
        <f>SUM(H269)+H272</f>
        <v>9260.1</v>
      </c>
      <c r="I268" s="123">
        <f>SUM(I269)+I272</f>
        <v>9260.1134000000002</v>
      </c>
      <c r="J268" s="123">
        <f>SUM(J269)+J272</f>
        <v>9218.8965000000007</v>
      </c>
      <c r="K268" s="123">
        <f t="shared" si="129"/>
        <v>1.3399999999819556E-2</v>
      </c>
      <c r="L268" s="118">
        <f t="shared" si="136"/>
        <v>100.00014470686061</v>
      </c>
      <c r="M268" s="123">
        <f t="shared" si="130"/>
        <v>-41.216899999999441</v>
      </c>
      <c r="N268" s="123">
        <f t="shared" si="131"/>
        <v>99.554898539363464</v>
      </c>
      <c r="O268" s="123">
        <f t="shared" si="134"/>
        <v>122.37040060528832</v>
      </c>
      <c r="P268" s="123">
        <f t="shared" si="132"/>
        <v>99.555042602131721</v>
      </c>
      <c r="Q268" s="123">
        <f t="shared" si="133"/>
        <v>1726.5</v>
      </c>
      <c r="R268" s="123">
        <f t="shared" si="135"/>
        <v>122.91733035998726</v>
      </c>
      <c r="S268" s="123">
        <f t="shared" si="127"/>
        <v>8.9576372528617885</v>
      </c>
    </row>
    <row r="269" spans="1:19" ht="39" customHeight="1" x14ac:dyDescent="0.2">
      <c r="A269" s="125" t="s">
        <v>522</v>
      </c>
      <c r="B269" s="151">
        <v>8</v>
      </c>
      <c r="C269" s="152">
        <v>1</v>
      </c>
      <c r="D269" s="122" t="s">
        <v>523</v>
      </c>
      <c r="E269" s="127"/>
      <c r="F269" s="127"/>
      <c r="G269" s="123">
        <f>SUM(G270)</f>
        <v>6952.1</v>
      </c>
      <c r="H269" s="123">
        <f>SUM(H270)</f>
        <v>8559.1</v>
      </c>
      <c r="I269" s="123">
        <f>SUM(I270)</f>
        <v>8559.11</v>
      </c>
      <c r="J269" s="123">
        <f>SUM(J270)</f>
        <v>8559.11</v>
      </c>
      <c r="K269" s="123">
        <f t="shared" si="129"/>
        <v>1.0000000000218279E-2</v>
      </c>
      <c r="L269" s="118">
        <f t="shared" si="136"/>
        <v>100.00011683471392</v>
      </c>
      <c r="M269" s="123">
        <f t="shared" si="130"/>
        <v>0</v>
      </c>
      <c r="N269" s="123">
        <f t="shared" si="131"/>
        <v>100</v>
      </c>
      <c r="O269" s="123">
        <f t="shared" si="134"/>
        <v>123.1154615152256</v>
      </c>
      <c r="P269" s="123">
        <f t="shared" si="132"/>
        <v>100.00011683471392</v>
      </c>
      <c r="Q269" s="123">
        <f t="shared" si="133"/>
        <v>1607</v>
      </c>
      <c r="R269" s="123">
        <f t="shared" si="135"/>
        <v>123.1153176737964</v>
      </c>
      <c r="S269" s="123">
        <f t="shared" si="127"/>
        <v>8.3165487959802853</v>
      </c>
    </row>
    <row r="270" spans="1:19" ht="43.15" customHeight="1" x14ac:dyDescent="0.2">
      <c r="A270" s="131" t="s">
        <v>524</v>
      </c>
      <c r="B270" s="151">
        <v>8</v>
      </c>
      <c r="C270" s="152">
        <v>1</v>
      </c>
      <c r="D270" s="122" t="s">
        <v>523</v>
      </c>
      <c r="E270" s="127">
        <v>600</v>
      </c>
      <c r="F270" s="127"/>
      <c r="G270" s="123">
        <f>G271</f>
        <v>6952.1</v>
      </c>
      <c r="H270" s="123">
        <f>H271</f>
        <v>8559.1</v>
      </c>
      <c r="I270" s="123">
        <f>I271</f>
        <v>8559.11</v>
      </c>
      <c r="J270" s="123">
        <f>J271</f>
        <v>8559.11</v>
      </c>
      <c r="K270" s="123">
        <f t="shared" si="129"/>
        <v>1.0000000000218279E-2</v>
      </c>
      <c r="L270" s="118">
        <f t="shared" si="136"/>
        <v>100.00011683471392</v>
      </c>
      <c r="M270" s="123">
        <f t="shared" si="130"/>
        <v>0</v>
      </c>
      <c r="N270" s="123">
        <f t="shared" si="131"/>
        <v>100</v>
      </c>
      <c r="O270" s="123">
        <f t="shared" si="134"/>
        <v>123.1154615152256</v>
      </c>
      <c r="P270" s="123">
        <f t="shared" si="132"/>
        <v>100.00011683471392</v>
      </c>
      <c r="Q270" s="123">
        <f t="shared" si="133"/>
        <v>1607</v>
      </c>
      <c r="R270" s="123">
        <f t="shared" si="135"/>
        <v>123.1153176737964</v>
      </c>
      <c r="S270" s="123">
        <f t="shared" si="127"/>
        <v>8.3165487959802853</v>
      </c>
    </row>
    <row r="271" spans="1:19" ht="21" customHeight="1" x14ac:dyDescent="0.2">
      <c r="A271" s="142" t="s">
        <v>486</v>
      </c>
      <c r="B271" s="151">
        <v>8</v>
      </c>
      <c r="C271" s="152">
        <v>1</v>
      </c>
      <c r="D271" s="122" t="s">
        <v>523</v>
      </c>
      <c r="E271" s="127">
        <v>611</v>
      </c>
      <c r="F271" s="127">
        <v>241</v>
      </c>
      <c r="G271" s="123">
        <v>6952.1</v>
      </c>
      <c r="H271" s="123">
        <v>8559.1</v>
      </c>
      <c r="I271" s="123">
        <v>8559.11</v>
      </c>
      <c r="J271" s="123">
        <v>8559.11</v>
      </c>
      <c r="K271" s="123">
        <f t="shared" si="129"/>
        <v>1.0000000000218279E-2</v>
      </c>
      <c r="L271" s="118">
        <f t="shared" si="136"/>
        <v>100.00011683471392</v>
      </c>
      <c r="M271" s="123">
        <f t="shared" si="130"/>
        <v>0</v>
      </c>
      <c r="N271" s="123">
        <f t="shared" si="131"/>
        <v>100</v>
      </c>
      <c r="O271" s="123">
        <f t="shared" si="134"/>
        <v>123.1154615152256</v>
      </c>
      <c r="P271" s="123">
        <f t="shared" si="132"/>
        <v>100.00011683471392</v>
      </c>
      <c r="Q271" s="123">
        <f t="shared" si="133"/>
        <v>1607</v>
      </c>
      <c r="R271" s="123">
        <f t="shared" si="135"/>
        <v>123.1153176737964</v>
      </c>
      <c r="S271" s="123">
        <f t="shared" si="127"/>
        <v>8.3165487959802853</v>
      </c>
    </row>
    <row r="272" spans="1:19" ht="27.75" customHeight="1" x14ac:dyDescent="0.2">
      <c r="A272" s="142" t="s">
        <v>525</v>
      </c>
      <c r="B272" s="122" t="s">
        <v>348</v>
      </c>
      <c r="C272" s="152">
        <v>1</v>
      </c>
      <c r="D272" s="122" t="s">
        <v>526</v>
      </c>
      <c r="E272" s="171"/>
      <c r="F272" s="171"/>
      <c r="G272" s="184">
        <f t="shared" ref="G272:J273" si="137">SUM(G273)</f>
        <v>581.5</v>
      </c>
      <c r="H272" s="184">
        <f t="shared" si="137"/>
        <v>701</v>
      </c>
      <c r="I272" s="184">
        <f t="shared" si="137"/>
        <v>701.00339999999994</v>
      </c>
      <c r="J272" s="184">
        <f t="shared" si="137"/>
        <v>659.78649999999993</v>
      </c>
      <c r="K272" s="123">
        <f t="shared" si="129"/>
        <v>3.399999999942338E-3</v>
      </c>
      <c r="L272" s="118">
        <f t="shared" si="136"/>
        <v>100.00048502139801</v>
      </c>
      <c r="M272" s="123">
        <f t="shared" si="130"/>
        <v>-41.21690000000001</v>
      </c>
      <c r="N272" s="123">
        <f t="shared" si="131"/>
        <v>94.120299559174754</v>
      </c>
      <c r="O272" s="123">
        <f t="shared" si="134"/>
        <v>113.46285468615649</v>
      </c>
      <c r="P272" s="123">
        <f t="shared" si="132"/>
        <v>94.12075606276747</v>
      </c>
      <c r="Q272" s="123">
        <f t="shared" si="133"/>
        <v>119.5</v>
      </c>
      <c r="R272" s="123">
        <f t="shared" si="135"/>
        <v>120.55030094582975</v>
      </c>
      <c r="S272" s="123">
        <f t="shared" si="127"/>
        <v>0.6410884568815034</v>
      </c>
    </row>
    <row r="273" spans="1:19" ht="40.5" customHeight="1" x14ac:dyDescent="0.2">
      <c r="A273" s="125" t="s">
        <v>416</v>
      </c>
      <c r="B273" s="122" t="s">
        <v>348</v>
      </c>
      <c r="C273" s="152">
        <v>1</v>
      </c>
      <c r="D273" s="122" t="s">
        <v>526</v>
      </c>
      <c r="E273" s="127">
        <v>200</v>
      </c>
      <c r="F273" s="127"/>
      <c r="G273" s="123">
        <f t="shared" si="137"/>
        <v>581.5</v>
      </c>
      <c r="H273" s="123">
        <f t="shared" si="137"/>
        <v>701</v>
      </c>
      <c r="I273" s="123">
        <f t="shared" si="137"/>
        <v>701.00339999999994</v>
      </c>
      <c r="J273" s="123">
        <f t="shared" si="137"/>
        <v>659.78649999999993</v>
      </c>
      <c r="K273" s="123">
        <f t="shared" si="129"/>
        <v>3.399999999942338E-3</v>
      </c>
      <c r="L273" s="118">
        <f t="shared" si="136"/>
        <v>100.00048502139801</v>
      </c>
      <c r="M273" s="123">
        <f t="shared" si="130"/>
        <v>-41.21690000000001</v>
      </c>
      <c r="N273" s="123">
        <f t="shared" si="131"/>
        <v>94.120299559174754</v>
      </c>
      <c r="O273" s="123">
        <f t="shared" si="134"/>
        <v>113.46285468615649</v>
      </c>
      <c r="P273" s="123">
        <f t="shared" si="132"/>
        <v>94.12075606276747</v>
      </c>
      <c r="Q273" s="123">
        <f t="shared" si="133"/>
        <v>119.5</v>
      </c>
      <c r="R273" s="123">
        <f t="shared" si="135"/>
        <v>120.55030094582975</v>
      </c>
      <c r="S273" s="123">
        <f t="shared" si="127"/>
        <v>0.6410884568815034</v>
      </c>
    </row>
    <row r="274" spans="1:19" ht="38.25" customHeight="1" x14ac:dyDescent="0.2">
      <c r="A274" s="125" t="s">
        <v>418</v>
      </c>
      <c r="B274" s="122" t="s">
        <v>348</v>
      </c>
      <c r="C274" s="152">
        <v>1</v>
      </c>
      <c r="D274" s="122" t="s">
        <v>526</v>
      </c>
      <c r="E274" s="127">
        <v>240</v>
      </c>
      <c r="F274" s="127"/>
      <c r="G274" s="123">
        <v>581.5</v>
      </c>
      <c r="H274" s="123">
        <v>701</v>
      </c>
      <c r="I274" s="123">
        <f>I275+I276+I277+I278</f>
        <v>701.00339999999994</v>
      </c>
      <c r="J274" s="123">
        <f>J275+J276+J277+J278</f>
        <v>659.78649999999993</v>
      </c>
      <c r="K274" s="123">
        <f t="shared" si="129"/>
        <v>3.399999999942338E-3</v>
      </c>
      <c r="L274" s="118">
        <f t="shared" si="136"/>
        <v>100.00048502139801</v>
      </c>
      <c r="M274" s="123">
        <f t="shared" si="130"/>
        <v>-41.21690000000001</v>
      </c>
      <c r="N274" s="123">
        <f t="shared" si="131"/>
        <v>94.120299559174754</v>
      </c>
      <c r="O274" s="123">
        <f t="shared" si="134"/>
        <v>113.46285468615649</v>
      </c>
      <c r="P274" s="123">
        <f t="shared" si="132"/>
        <v>94.12075606276747</v>
      </c>
      <c r="Q274" s="123">
        <f t="shared" si="133"/>
        <v>119.5</v>
      </c>
      <c r="R274" s="123">
        <f t="shared" si="135"/>
        <v>120.55030094582975</v>
      </c>
      <c r="S274" s="123">
        <f t="shared" si="127"/>
        <v>0.6410884568815034</v>
      </c>
    </row>
    <row r="275" spans="1:19" ht="20.25" customHeight="1" x14ac:dyDescent="0.2">
      <c r="A275" s="125"/>
      <c r="B275" s="122" t="s">
        <v>348</v>
      </c>
      <c r="C275" s="152">
        <v>1</v>
      </c>
      <c r="D275" s="122" t="s">
        <v>526</v>
      </c>
      <c r="E275" s="127">
        <v>244</v>
      </c>
      <c r="F275" s="127">
        <v>222</v>
      </c>
      <c r="G275" s="123"/>
      <c r="H275" s="123"/>
      <c r="I275" s="123">
        <v>4.8280000000000003</v>
      </c>
      <c r="J275" s="123">
        <v>4.8280000000000003</v>
      </c>
      <c r="K275" s="123"/>
      <c r="L275" s="118"/>
      <c r="M275" s="123">
        <f t="shared" si="130"/>
        <v>0</v>
      </c>
      <c r="N275" s="123"/>
      <c r="O275" s="123"/>
      <c r="P275" s="123"/>
      <c r="Q275" s="123"/>
      <c r="R275" s="123"/>
      <c r="S275" s="123"/>
    </row>
    <row r="276" spans="1:19" ht="20.25" customHeight="1" x14ac:dyDescent="0.2">
      <c r="A276" s="125"/>
      <c r="B276" s="122" t="s">
        <v>348</v>
      </c>
      <c r="C276" s="152">
        <v>1</v>
      </c>
      <c r="D276" s="122" t="s">
        <v>526</v>
      </c>
      <c r="E276" s="127">
        <v>244</v>
      </c>
      <c r="F276" s="127">
        <v>226</v>
      </c>
      <c r="G276" s="123"/>
      <c r="H276" s="123"/>
      <c r="I276" s="123">
        <v>354.85649999999998</v>
      </c>
      <c r="J276" s="123">
        <v>354.85649999999998</v>
      </c>
      <c r="K276" s="123"/>
      <c r="L276" s="118"/>
      <c r="M276" s="123">
        <f t="shared" si="130"/>
        <v>0</v>
      </c>
      <c r="N276" s="123"/>
      <c r="O276" s="123"/>
      <c r="P276" s="123"/>
      <c r="Q276" s="123"/>
      <c r="R276" s="123"/>
      <c r="S276" s="123"/>
    </row>
    <row r="277" spans="1:19" ht="16.5" customHeight="1" x14ac:dyDescent="0.2">
      <c r="A277" s="125"/>
      <c r="B277" s="122" t="s">
        <v>348</v>
      </c>
      <c r="C277" s="152">
        <v>1</v>
      </c>
      <c r="D277" s="122" t="s">
        <v>526</v>
      </c>
      <c r="E277" s="127">
        <v>244</v>
      </c>
      <c r="F277" s="127">
        <v>346</v>
      </c>
      <c r="G277" s="123"/>
      <c r="H277" s="123"/>
      <c r="I277" s="123">
        <v>114.1</v>
      </c>
      <c r="J277" s="123">
        <v>114.1</v>
      </c>
      <c r="K277" s="123"/>
      <c r="L277" s="118"/>
      <c r="M277" s="123">
        <f t="shared" si="130"/>
        <v>0</v>
      </c>
      <c r="N277" s="123"/>
      <c r="O277" s="123"/>
      <c r="P277" s="123"/>
      <c r="Q277" s="123"/>
      <c r="R277" s="123"/>
      <c r="S277" s="123"/>
    </row>
    <row r="278" spans="1:19" ht="20.25" customHeight="1" x14ac:dyDescent="0.2">
      <c r="A278" s="125"/>
      <c r="B278" s="122" t="s">
        <v>348</v>
      </c>
      <c r="C278" s="152">
        <v>1</v>
      </c>
      <c r="D278" s="122" t="s">
        <v>526</v>
      </c>
      <c r="E278" s="127">
        <v>244</v>
      </c>
      <c r="F278" s="127">
        <v>349</v>
      </c>
      <c r="G278" s="123"/>
      <c r="H278" s="123"/>
      <c r="I278" s="123">
        <v>227.21889999999999</v>
      </c>
      <c r="J278" s="123">
        <v>186.00200000000001</v>
      </c>
      <c r="K278" s="123"/>
      <c r="L278" s="118"/>
      <c r="M278" s="123">
        <f t="shared" si="130"/>
        <v>-41.216899999999981</v>
      </c>
      <c r="N278" s="123"/>
      <c r="O278" s="123"/>
      <c r="P278" s="123"/>
      <c r="Q278" s="123"/>
      <c r="R278" s="123"/>
      <c r="S278" s="123"/>
    </row>
    <row r="279" spans="1:19" s="119" customFormat="1" ht="38.25" customHeight="1" x14ac:dyDescent="0.2">
      <c r="A279" s="120" t="s">
        <v>527</v>
      </c>
      <c r="B279" s="115" t="s">
        <v>348</v>
      </c>
      <c r="C279" s="115" t="s">
        <v>319</v>
      </c>
      <c r="D279" s="115"/>
      <c r="E279" s="129"/>
      <c r="F279" s="129"/>
      <c r="G279" s="116">
        <f>G280</f>
        <v>355</v>
      </c>
      <c r="H279" s="116">
        <f>H280</f>
        <v>451</v>
      </c>
      <c r="I279" s="116">
        <f>I280</f>
        <v>451</v>
      </c>
      <c r="J279" s="116">
        <f>J280</f>
        <v>451</v>
      </c>
      <c r="K279" s="116">
        <f t="shared" si="129"/>
        <v>0</v>
      </c>
      <c r="L279" s="118">
        <f t="shared" si="136"/>
        <v>100</v>
      </c>
      <c r="M279" s="116">
        <f t="shared" si="130"/>
        <v>0</v>
      </c>
      <c r="N279" s="116">
        <f t="shared" si="131"/>
        <v>100</v>
      </c>
      <c r="O279" s="116">
        <f t="shared" si="134"/>
        <v>127.04225352112677</v>
      </c>
      <c r="P279" s="116">
        <f t="shared" si="132"/>
        <v>100</v>
      </c>
      <c r="Q279" s="116">
        <f t="shared" si="133"/>
        <v>96</v>
      </c>
      <c r="R279" s="116">
        <f t="shared" si="135"/>
        <v>127.04225352112677</v>
      </c>
      <c r="S279" s="116">
        <f t="shared" ref="S279:S312" si="138">J279/$J$329*100</f>
        <v>0.43821886936692112</v>
      </c>
    </row>
    <row r="280" spans="1:19" ht="38.25" customHeight="1" x14ac:dyDescent="0.2">
      <c r="A280" s="125" t="s">
        <v>461</v>
      </c>
      <c r="B280" s="122" t="s">
        <v>348</v>
      </c>
      <c r="C280" s="122" t="s">
        <v>319</v>
      </c>
      <c r="D280" s="122" t="s">
        <v>521</v>
      </c>
      <c r="E280" s="127"/>
      <c r="F280" s="127"/>
      <c r="G280" s="123">
        <f>G284+G281+G287</f>
        <v>355</v>
      </c>
      <c r="H280" s="123">
        <f>H284+H281+H287</f>
        <v>451</v>
      </c>
      <c r="I280" s="123">
        <f>I284+I281+I287</f>
        <v>451</v>
      </c>
      <c r="J280" s="123">
        <f>J284+J281+J287</f>
        <v>451</v>
      </c>
      <c r="K280" s="123">
        <f t="shared" si="129"/>
        <v>0</v>
      </c>
      <c r="L280" s="118">
        <f t="shared" si="136"/>
        <v>100</v>
      </c>
      <c r="M280" s="123">
        <f t="shared" si="130"/>
        <v>0</v>
      </c>
      <c r="N280" s="123">
        <f t="shared" si="131"/>
        <v>100</v>
      </c>
      <c r="O280" s="123">
        <f t="shared" si="134"/>
        <v>127.04225352112677</v>
      </c>
      <c r="P280" s="123">
        <f t="shared" si="132"/>
        <v>100</v>
      </c>
      <c r="Q280" s="123">
        <f t="shared" si="133"/>
        <v>96</v>
      </c>
      <c r="R280" s="123">
        <f t="shared" si="135"/>
        <v>127.04225352112677</v>
      </c>
      <c r="S280" s="123">
        <f t="shared" si="138"/>
        <v>0.43821886936692112</v>
      </c>
    </row>
    <row r="281" spans="1:19" ht="17.25" customHeight="1" x14ac:dyDescent="0.2">
      <c r="A281" s="149" t="s">
        <v>528</v>
      </c>
      <c r="B281" s="122" t="s">
        <v>348</v>
      </c>
      <c r="C281" s="122" t="s">
        <v>319</v>
      </c>
      <c r="D281" s="122" t="s">
        <v>529</v>
      </c>
      <c r="E281" s="127"/>
      <c r="F281" s="127"/>
      <c r="G281" s="123">
        <f t="shared" ref="G281:J282" si="139">SUM(G282)</f>
        <v>0</v>
      </c>
      <c r="H281" s="123">
        <f t="shared" si="139"/>
        <v>50</v>
      </c>
      <c r="I281" s="123">
        <f t="shared" si="139"/>
        <v>50</v>
      </c>
      <c r="J281" s="123">
        <f t="shared" si="139"/>
        <v>50</v>
      </c>
      <c r="K281" s="123">
        <f t="shared" si="129"/>
        <v>0</v>
      </c>
      <c r="L281" s="118">
        <f t="shared" si="136"/>
        <v>100</v>
      </c>
      <c r="M281" s="123">
        <f t="shared" si="130"/>
        <v>0</v>
      </c>
      <c r="N281" s="123">
        <f t="shared" si="131"/>
        <v>100</v>
      </c>
      <c r="O281" s="123"/>
      <c r="P281" s="123">
        <f t="shared" si="132"/>
        <v>100</v>
      </c>
      <c r="Q281" s="123">
        <f t="shared" si="133"/>
        <v>50</v>
      </c>
      <c r="R281" s="123"/>
      <c r="S281" s="123">
        <f t="shared" si="138"/>
        <v>4.8583023211410323E-2</v>
      </c>
    </row>
    <row r="282" spans="1:19" ht="38.25" customHeight="1" x14ac:dyDescent="0.2">
      <c r="A282" s="131" t="s">
        <v>524</v>
      </c>
      <c r="B282" s="122" t="s">
        <v>348</v>
      </c>
      <c r="C282" s="122" t="s">
        <v>319</v>
      </c>
      <c r="D282" s="122" t="s">
        <v>529</v>
      </c>
      <c r="E282" s="127">
        <v>600</v>
      </c>
      <c r="F282" s="127"/>
      <c r="G282" s="123">
        <f t="shared" si="139"/>
        <v>0</v>
      </c>
      <c r="H282" s="123">
        <f t="shared" si="139"/>
        <v>50</v>
      </c>
      <c r="I282" s="123">
        <f t="shared" si="139"/>
        <v>50</v>
      </c>
      <c r="J282" s="123">
        <f t="shared" si="139"/>
        <v>50</v>
      </c>
      <c r="K282" s="123">
        <f t="shared" si="129"/>
        <v>0</v>
      </c>
      <c r="L282" s="118">
        <f t="shared" si="136"/>
        <v>100</v>
      </c>
      <c r="M282" s="123">
        <f t="shared" si="130"/>
        <v>0</v>
      </c>
      <c r="N282" s="123">
        <f t="shared" si="131"/>
        <v>100</v>
      </c>
      <c r="O282" s="123"/>
      <c r="P282" s="123">
        <f t="shared" si="132"/>
        <v>100</v>
      </c>
      <c r="Q282" s="123">
        <f t="shared" si="133"/>
        <v>50</v>
      </c>
      <c r="R282" s="123"/>
      <c r="S282" s="123">
        <f t="shared" si="138"/>
        <v>4.8583023211410323E-2</v>
      </c>
    </row>
    <row r="283" spans="1:19" ht="25.5" customHeight="1" x14ac:dyDescent="0.2">
      <c r="A283" s="142" t="s">
        <v>486</v>
      </c>
      <c r="B283" s="122" t="s">
        <v>348</v>
      </c>
      <c r="C283" s="122" t="s">
        <v>319</v>
      </c>
      <c r="D283" s="122" t="s">
        <v>529</v>
      </c>
      <c r="E283" s="127">
        <v>612</v>
      </c>
      <c r="F283" s="127">
        <v>241</v>
      </c>
      <c r="G283" s="123"/>
      <c r="H283" s="123">
        <v>50</v>
      </c>
      <c r="I283" s="123">
        <v>50</v>
      </c>
      <c r="J283" s="123">
        <v>50</v>
      </c>
      <c r="K283" s="123">
        <f t="shared" si="129"/>
        <v>0</v>
      </c>
      <c r="L283" s="118">
        <f t="shared" si="136"/>
        <v>100</v>
      </c>
      <c r="M283" s="123">
        <f t="shared" si="130"/>
        <v>0</v>
      </c>
      <c r="N283" s="123">
        <f t="shared" si="131"/>
        <v>100</v>
      </c>
      <c r="O283" s="123"/>
      <c r="P283" s="123">
        <f t="shared" si="132"/>
        <v>100</v>
      </c>
      <c r="Q283" s="123">
        <f t="shared" si="133"/>
        <v>50</v>
      </c>
      <c r="R283" s="123"/>
      <c r="S283" s="123">
        <f t="shared" si="138"/>
        <v>4.8583023211410323E-2</v>
      </c>
    </row>
    <row r="284" spans="1:19" ht="50.25" customHeight="1" x14ac:dyDescent="0.2">
      <c r="A284" s="149" t="s">
        <v>530</v>
      </c>
      <c r="B284" s="122" t="s">
        <v>348</v>
      </c>
      <c r="C284" s="122" t="s">
        <v>319</v>
      </c>
      <c r="D284" s="122" t="s">
        <v>531</v>
      </c>
      <c r="E284" s="127"/>
      <c r="F284" s="127"/>
      <c r="G284" s="123">
        <f t="shared" ref="G284:J285" si="140">SUM(G285)</f>
        <v>355</v>
      </c>
      <c r="H284" s="123">
        <f t="shared" si="140"/>
        <v>355</v>
      </c>
      <c r="I284" s="123">
        <f t="shared" si="140"/>
        <v>355</v>
      </c>
      <c r="J284" s="123">
        <f t="shared" si="140"/>
        <v>355</v>
      </c>
      <c r="K284" s="123">
        <f t="shared" si="129"/>
        <v>0</v>
      </c>
      <c r="L284" s="118">
        <f t="shared" si="136"/>
        <v>100</v>
      </c>
      <c r="M284" s="123">
        <f t="shared" si="130"/>
        <v>0</v>
      </c>
      <c r="N284" s="123">
        <f t="shared" si="131"/>
        <v>100</v>
      </c>
      <c r="O284" s="123">
        <f t="shared" si="134"/>
        <v>100</v>
      </c>
      <c r="P284" s="123">
        <f t="shared" si="132"/>
        <v>100</v>
      </c>
      <c r="Q284" s="123">
        <f t="shared" si="133"/>
        <v>0</v>
      </c>
      <c r="R284" s="123">
        <f t="shared" si="135"/>
        <v>100</v>
      </c>
      <c r="S284" s="123">
        <f t="shared" si="138"/>
        <v>0.34493946480101328</v>
      </c>
    </row>
    <row r="285" spans="1:19" ht="45.75" customHeight="1" x14ac:dyDescent="0.2">
      <c r="A285" s="131" t="s">
        <v>524</v>
      </c>
      <c r="B285" s="122" t="s">
        <v>348</v>
      </c>
      <c r="C285" s="122" t="s">
        <v>319</v>
      </c>
      <c r="D285" s="122" t="s">
        <v>531</v>
      </c>
      <c r="E285" s="127">
        <v>600</v>
      </c>
      <c r="F285" s="127"/>
      <c r="G285" s="123">
        <f t="shared" si="140"/>
        <v>355</v>
      </c>
      <c r="H285" s="123">
        <f t="shared" si="140"/>
        <v>355</v>
      </c>
      <c r="I285" s="123">
        <f t="shared" si="140"/>
        <v>355</v>
      </c>
      <c r="J285" s="123">
        <f t="shared" si="140"/>
        <v>355</v>
      </c>
      <c r="K285" s="123">
        <f t="shared" si="129"/>
        <v>0</v>
      </c>
      <c r="L285" s="118">
        <f t="shared" si="136"/>
        <v>100</v>
      </c>
      <c r="M285" s="123">
        <f t="shared" si="130"/>
        <v>0</v>
      </c>
      <c r="N285" s="123">
        <f t="shared" si="131"/>
        <v>100</v>
      </c>
      <c r="O285" s="123">
        <f t="shared" si="134"/>
        <v>100</v>
      </c>
      <c r="P285" s="123">
        <f t="shared" si="132"/>
        <v>100</v>
      </c>
      <c r="Q285" s="123">
        <f t="shared" si="133"/>
        <v>0</v>
      </c>
      <c r="R285" s="123">
        <f t="shared" si="135"/>
        <v>100</v>
      </c>
      <c r="S285" s="123">
        <f t="shared" si="138"/>
        <v>0.34493946480101328</v>
      </c>
    </row>
    <row r="286" spans="1:19" ht="65.25" customHeight="1" x14ac:dyDescent="0.2">
      <c r="A286" s="185" t="s">
        <v>532</v>
      </c>
      <c r="B286" s="122" t="s">
        <v>348</v>
      </c>
      <c r="C286" s="122" t="s">
        <v>319</v>
      </c>
      <c r="D286" s="122" t="s">
        <v>531</v>
      </c>
      <c r="E286" s="127">
        <v>633</v>
      </c>
      <c r="F286" s="127">
        <v>246</v>
      </c>
      <c r="G286" s="123">
        <v>355</v>
      </c>
      <c r="H286" s="123">
        <v>355</v>
      </c>
      <c r="I286" s="123">
        <v>355</v>
      </c>
      <c r="J286" s="123">
        <v>355</v>
      </c>
      <c r="K286" s="123">
        <f t="shared" si="129"/>
        <v>0</v>
      </c>
      <c r="L286" s="118">
        <f t="shared" si="136"/>
        <v>100</v>
      </c>
      <c r="M286" s="123">
        <f t="shared" si="130"/>
        <v>0</v>
      </c>
      <c r="N286" s="123">
        <f t="shared" si="131"/>
        <v>100</v>
      </c>
      <c r="O286" s="123">
        <f t="shared" si="134"/>
        <v>100</v>
      </c>
      <c r="P286" s="123">
        <f t="shared" si="132"/>
        <v>100</v>
      </c>
      <c r="Q286" s="123">
        <f t="shared" si="133"/>
        <v>0</v>
      </c>
      <c r="R286" s="123">
        <f t="shared" si="135"/>
        <v>100</v>
      </c>
      <c r="S286" s="123">
        <f t="shared" si="138"/>
        <v>0.34493946480101328</v>
      </c>
    </row>
    <row r="287" spans="1:19" ht="34.5" customHeight="1" x14ac:dyDescent="0.2">
      <c r="A287" s="186" t="s">
        <v>533</v>
      </c>
      <c r="B287" s="122" t="s">
        <v>348</v>
      </c>
      <c r="C287" s="122" t="s">
        <v>319</v>
      </c>
      <c r="D287" s="122" t="s">
        <v>534</v>
      </c>
      <c r="E287" s="127"/>
      <c r="F287" s="127"/>
      <c r="G287" s="123">
        <f t="shared" ref="G287:J288" si="141">SUM(G288)</f>
        <v>0</v>
      </c>
      <c r="H287" s="123">
        <f t="shared" si="141"/>
        <v>46</v>
      </c>
      <c r="I287" s="123">
        <f t="shared" si="141"/>
        <v>46</v>
      </c>
      <c r="J287" s="123">
        <f t="shared" si="141"/>
        <v>46</v>
      </c>
      <c r="K287" s="123">
        <f t="shared" si="129"/>
        <v>0</v>
      </c>
      <c r="L287" s="118">
        <f t="shared" si="136"/>
        <v>100</v>
      </c>
      <c r="M287" s="123">
        <f t="shared" si="130"/>
        <v>0</v>
      </c>
      <c r="N287" s="123">
        <f t="shared" si="131"/>
        <v>100</v>
      </c>
      <c r="O287" s="123"/>
      <c r="P287" s="123">
        <f t="shared" si="132"/>
        <v>100</v>
      </c>
      <c r="Q287" s="123">
        <f t="shared" si="133"/>
        <v>46</v>
      </c>
      <c r="R287" s="123"/>
      <c r="S287" s="123">
        <f t="shared" si="138"/>
        <v>4.4696381354497494E-2</v>
      </c>
    </row>
    <row r="288" spans="1:19" ht="45" customHeight="1" x14ac:dyDescent="0.2">
      <c r="A288" s="125" t="s">
        <v>485</v>
      </c>
      <c r="B288" s="122" t="s">
        <v>348</v>
      </c>
      <c r="C288" s="122" t="s">
        <v>319</v>
      </c>
      <c r="D288" s="122" t="s">
        <v>534</v>
      </c>
      <c r="E288" s="127">
        <v>600</v>
      </c>
      <c r="F288" s="127"/>
      <c r="G288" s="123">
        <f t="shared" si="141"/>
        <v>0</v>
      </c>
      <c r="H288" s="123">
        <f t="shared" si="141"/>
        <v>46</v>
      </c>
      <c r="I288" s="123">
        <f t="shared" si="141"/>
        <v>46</v>
      </c>
      <c r="J288" s="123">
        <f t="shared" si="141"/>
        <v>46</v>
      </c>
      <c r="K288" s="123">
        <f t="shared" si="129"/>
        <v>0</v>
      </c>
      <c r="L288" s="118">
        <f t="shared" si="136"/>
        <v>100</v>
      </c>
      <c r="M288" s="123">
        <f t="shared" si="130"/>
        <v>0</v>
      </c>
      <c r="N288" s="123">
        <f t="shared" si="131"/>
        <v>100</v>
      </c>
      <c r="O288" s="123"/>
      <c r="P288" s="123">
        <f t="shared" si="132"/>
        <v>100</v>
      </c>
      <c r="Q288" s="123">
        <f t="shared" si="133"/>
        <v>46</v>
      </c>
      <c r="R288" s="123"/>
      <c r="S288" s="123">
        <f t="shared" si="138"/>
        <v>4.4696381354497494E-2</v>
      </c>
    </row>
    <row r="289" spans="1:19" ht="18.75" customHeight="1" x14ac:dyDescent="0.2">
      <c r="A289" s="142" t="s">
        <v>486</v>
      </c>
      <c r="B289" s="122" t="s">
        <v>348</v>
      </c>
      <c r="C289" s="122" t="s">
        <v>319</v>
      </c>
      <c r="D289" s="122" t="s">
        <v>534</v>
      </c>
      <c r="E289" s="127">
        <v>612</v>
      </c>
      <c r="F289" s="127">
        <v>241</v>
      </c>
      <c r="G289" s="123"/>
      <c r="H289" s="123">
        <v>46</v>
      </c>
      <c r="I289" s="123">
        <v>46</v>
      </c>
      <c r="J289" s="123">
        <v>46</v>
      </c>
      <c r="K289" s="123">
        <f t="shared" si="129"/>
        <v>0</v>
      </c>
      <c r="L289" s="118">
        <f t="shared" si="136"/>
        <v>100</v>
      </c>
      <c r="M289" s="123">
        <f t="shared" si="130"/>
        <v>0</v>
      </c>
      <c r="N289" s="123">
        <f t="shared" si="131"/>
        <v>100</v>
      </c>
      <c r="O289" s="123"/>
      <c r="P289" s="123">
        <f t="shared" si="132"/>
        <v>100</v>
      </c>
      <c r="Q289" s="123">
        <f t="shared" si="133"/>
        <v>46</v>
      </c>
      <c r="R289" s="123"/>
      <c r="S289" s="123">
        <f t="shared" si="138"/>
        <v>4.4696381354497494E-2</v>
      </c>
    </row>
    <row r="290" spans="1:19" s="119" customFormat="1" ht="19.5" customHeight="1" x14ac:dyDescent="0.2">
      <c r="A290" s="114" t="s">
        <v>535</v>
      </c>
      <c r="B290" s="187">
        <v>9</v>
      </c>
      <c r="C290" s="183"/>
      <c r="D290" s="115"/>
      <c r="E290" s="129"/>
      <c r="F290" s="129"/>
      <c r="G290" s="116">
        <f t="shared" ref="G290:J293" si="142">SUM(G291)</f>
        <v>0</v>
      </c>
      <c r="H290" s="116">
        <f t="shared" si="142"/>
        <v>589.79999999999995</v>
      </c>
      <c r="I290" s="116">
        <f t="shared" si="142"/>
        <v>589.86239999999998</v>
      </c>
      <c r="J290" s="116">
        <f t="shared" si="142"/>
        <v>589.86239999999998</v>
      </c>
      <c r="K290" s="116">
        <f t="shared" si="129"/>
        <v>6.2400000000025102E-2</v>
      </c>
      <c r="L290" s="118">
        <f t="shared" si="136"/>
        <v>100.01057985757885</v>
      </c>
      <c r="M290" s="116">
        <f t="shared" si="130"/>
        <v>0</v>
      </c>
      <c r="N290" s="116">
        <f t="shared" si="131"/>
        <v>100</v>
      </c>
      <c r="O290" s="116"/>
      <c r="P290" s="116">
        <f t="shared" si="132"/>
        <v>100.01057985757885</v>
      </c>
      <c r="Q290" s="116">
        <f t="shared" si="133"/>
        <v>589.79999999999995</v>
      </c>
      <c r="R290" s="116"/>
      <c r="S290" s="116">
        <f t="shared" si="138"/>
        <v>0.57314597341476392</v>
      </c>
    </row>
    <row r="291" spans="1:19" s="119" customFormat="1" ht="31.9" customHeight="1" x14ac:dyDescent="0.2">
      <c r="A291" s="114" t="s">
        <v>536</v>
      </c>
      <c r="B291" s="187">
        <v>9</v>
      </c>
      <c r="C291" s="183">
        <v>7</v>
      </c>
      <c r="D291" s="115"/>
      <c r="E291" s="129"/>
      <c r="F291" s="129"/>
      <c r="G291" s="116">
        <f t="shared" si="142"/>
        <v>0</v>
      </c>
      <c r="H291" s="116">
        <f t="shared" si="142"/>
        <v>589.79999999999995</v>
      </c>
      <c r="I291" s="116">
        <f t="shared" si="142"/>
        <v>589.86239999999998</v>
      </c>
      <c r="J291" s="116">
        <f t="shared" si="142"/>
        <v>589.86239999999998</v>
      </c>
      <c r="K291" s="116">
        <f t="shared" si="129"/>
        <v>6.2400000000025102E-2</v>
      </c>
      <c r="L291" s="118">
        <f t="shared" si="136"/>
        <v>100.01057985757885</v>
      </c>
      <c r="M291" s="116">
        <f t="shared" si="130"/>
        <v>0</v>
      </c>
      <c r="N291" s="116">
        <f t="shared" si="131"/>
        <v>100</v>
      </c>
      <c r="O291" s="116"/>
      <c r="P291" s="116">
        <f t="shared" si="132"/>
        <v>100.01057985757885</v>
      </c>
      <c r="Q291" s="116">
        <f t="shared" si="133"/>
        <v>589.79999999999995</v>
      </c>
      <c r="R291" s="116"/>
      <c r="S291" s="116">
        <f t="shared" si="138"/>
        <v>0.57314597341476392</v>
      </c>
    </row>
    <row r="292" spans="1:19" ht="39.75" customHeight="1" x14ac:dyDescent="0.2">
      <c r="A292" s="125" t="s">
        <v>495</v>
      </c>
      <c r="B292" s="151">
        <v>9</v>
      </c>
      <c r="C292" s="152">
        <v>7</v>
      </c>
      <c r="D292" s="122" t="s">
        <v>496</v>
      </c>
      <c r="E292" s="127"/>
      <c r="F292" s="127"/>
      <c r="G292" s="123">
        <f t="shared" si="142"/>
        <v>0</v>
      </c>
      <c r="H292" s="123">
        <f t="shared" si="142"/>
        <v>589.79999999999995</v>
      </c>
      <c r="I292" s="123">
        <f t="shared" si="142"/>
        <v>589.86239999999998</v>
      </c>
      <c r="J292" s="123">
        <f t="shared" si="142"/>
        <v>589.86239999999998</v>
      </c>
      <c r="K292" s="123">
        <f t="shared" si="129"/>
        <v>6.2400000000025102E-2</v>
      </c>
      <c r="L292" s="118">
        <f t="shared" si="136"/>
        <v>100.01057985757885</v>
      </c>
      <c r="M292" s="123">
        <f t="shared" si="130"/>
        <v>0</v>
      </c>
      <c r="N292" s="123">
        <f t="shared" si="131"/>
        <v>100</v>
      </c>
      <c r="O292" s="123"/>
      <c r="P292" s="123">
        <f t="shared" si="132"/>
        <v>100.01057985757885</v>
      </c>
      <c r="Q292" s="123">
        <f t="shared" si="133"/>
        <v>589.79999999999995</v>
      </c>
      <c r="R292" s="123"/>
      <c r="S292" s="123">
        <f t="shared" si="138"/>
        <v>0.57314597341476392</v>
      </c>
    </row>
    <row r="293" spans="1:19" ht="56.25" x14ac:dyDescent="0.2">
      <c r="A293" s="86" t="s">
        <v>497</v>
      </c>
      <c r="B293" s="151">
        <v>9</v>
      </c>
      <c r="C293" s="152">
        <v>7</v>
      </c>
      <c r="D293" s="176" t="s">
        <v>498</v>
      </c>
      <c r="E293" s="127"/>
      <c r="F293" s="127"/>
      <c r="G293" s="123">
        <f t="shared" si="142"/>
        <v>0</v>
      </c>
      <c r="H293" s="123">
        <f t="shared" si="142"/>
        <v>589.79999999999995</v>
      </c>
      <c r="I293" s="123">
        <f t="shared" si="142"/>
        <v>589.86239999999998</v>
      </c>
      <c r="J293" s="123">
        <f t="shared" si="142"/>
        <v>589.86239999999998</v>
      </c>
      <c r="K293" s="123">
        <f t="shared" si="129"/>
        <v>6.2400000000025102E-2</v>
      </c>
      <c r="L293" s="118">
        <f t="shared" si="136"/>
        <v>100.01057985757885</v>
      </c>
      <c r="M293" s="123">
        <f t="shared" si="130"/>
        <v>0</v>
      </c>
      <c r="N293" s="123">
        <f t="shared" si="131"/>
        <v>100</v>
      </c>
      <c r="O293" s="123"/>
      <c r="P293" s="123">
        <f t="shared" si="132"/>
        <v>100.01057985757885</v>
      </c>
      <c r="Q293" s="123">
        <f t="shared" si="133"/>
        <v>589.79999999999995</v>
      </c>
      <c r="R293" s="123"/>
      <c r="S293" s="123">
        <f t="shared" si="138"/>
        <v>0.57314597341476392</v>
      </c>
    </row>
    <row r="294" spans="1:19" ht="24" customHeight="1" x14ac:dyDescent="0.2">
      <c r="A294" s="149" t="s">
        <v>537</v>
      </c>
      <c r="B294" s="151">
        <v>9</v>
      </c>
      <c r="C294" s="152">
        <v>7</v>
      </c>
      <c r="D294" s="188" t="s">
        <v>514</v>
      </c>
      <c r="E294" s="127"/>
      <c r="F294" s="127"/>
      <c r="G294" s="123">
        <f>G295</f>
        <v>0</v>
      </c>
      <c r="H294" s="123">
        <f>H295</f>
        <v>589.79999999999995</v>
      </c>
      <c r="I294" s="123">
        <f>I295</f>
        <v>589.86239999999998</v>
      </c>
      <c r="J294" s="123">
        <f>J295</f>
        <v>589.86239999999998</v>
      </c>
      <c r="K294" s="123">
        <f t="shared" si="129"/>
        <v>6.2400000000025102E-2</v>
      </c>
      <c r="L294" s="118">
        <f t="shared" si="136"/>
        <v>100.01057985757885</v>
      </c>
      <c r="M294" s="123">
        <f t="shared" si="130"/>
        <v>0</v>
      </c>
      <c r="N294" s="123">
        <f t="shared" si="131"/>
        <v>100</v>
      </c>
      <c r="O294" s="123"/>
      <c r="P294" s="123">
        <f t="shared" si="132"/>
        <v>100.01057985757885</v>
      </c>
      <c r="Q294" s="123">
        <f t="shared" si="133"/>
        <v>589.79999999999995</v>
      </c>
      <c r="R294" s="123"/>
      <c r="S294" s="123">
        <f t="shared" si="138"/>
        <v>0.57314597341476392</v>
      </c>
    </row>
    <row r="295" spans="1:19" ht="40.5" customHeight="1" x14ac:dyDescent="0.2">
      <c r="A295" s="125" t="s">
        <v>416</v>
      </c>
      <c r="B295" s="151">
        <v>9</v>
      </c>
      <c r="C295" s="152">
        <v>7</v>
      </c>
      <c r="D295" s="188" t="s">
        <v>514</v>
      </c>
      <c r="E295" s="135">
        <v>200</v>
      </c>
      <c r="F295" s="135"/>
      <c r="G295" s="123">
        <f>SUM(G296)</f>
        <v>0</v>
      </c>
      <c r="H295" s="123">
        <f>SUM(H296)</f>
        <v>589.79999999999995</v>
      </c>
      <c r="I295" s="123">
        <f>SUM(I296)</f>
        <v>589.86239999999998</v>
      </c>
      <c r="J295" s="123">
        <f>SUM(J296)</f>
        <v>589.86239999999998</v>
      </c>
      <c r="K295" s="123">
        <f t="shared" si="129"/>
        <v>6.2400000000025102E-2</v>
      </c>
      <c r="L295" s="118">
        <f t="shared" si="136"/>
        <v>100.01057985757885</v>
      </c>
      <c r="M295" s="123">
        <f t="shared" si="130"/>
        <v>0</v>
      </c>
      <c r="N295" s="123">
        <f t="shared" si="131"/>
        <v>100</v>
      </c>
      <c r="O295" s="123"/>
      <c r="P295" s="123">
        <f t="shared" si="132"/>
        <v>100.01057985757885</v>
      </c>
      <c r="Q295" s="123">
        <f t="shared" si="133"/>
        <v>589.79999999999995</v>
      </c>
      <c r="R295" s="123"/>
      <c r="S295" s="123">
        <f t="shared" si="138"/>
        <v>0.57314597341476392</v>
      </c>
    </row>
    <row r="296" spans="1:19" ht="42" customHeight="1" x14ac:dyDescent="0.2">
      <c r="A296" s="131" t="s">
        <v>418</v>
      </c>
      <c r="B296" s="151">
        <v>9</v>
      </c>
      <c r="C296" s="152">
        <v>7</v>
      </c>
      <c r="D296" s="188" t="s">
        <v>514</v>
      </c>
      <c r="E296" s="135">
        <v>244</v>
      </c>
      <c r="F296" s="135">
        <v>225</v>
      </c>
      <c r="G296" s="123"/>
      <c r="H296" s="123">
        <v>589.79999999999995</v>
      </c>
      <c r="I296" s="123">
        <v>589.86239999999998</v>
      </c>
      <c r="J296" s="123">
        <v>589.86239999999998</v>
      </c>
      <c r="K296" s="123">
        <f t="shared" si="129"/>
        <v>6.2400000000025102E-2</v>
      </c>
      <c r="L296" s="118">
        <f t="shared" si="136"/>
        <v>100.01057985757885</v>
      </c>
      <c r="M296" s="123">
        <f t="shared" si="130"/>
        <v>0</v>
      </c>
      <c r="N296" s="123">
        <f t="shared" si="131"/>
        <v>100</v>
      </c>
      <c r="O296" s="123"/>
      <c r="P296" s="123">
        <f t="shared" si="132"/>
        <v>100.01057985757885</v>
      </c>
      <c r="Q296" s="123">
        <f t="shared" si="133"/>
        <v>589.79999999999995</v>
      </c>
      <c r="R296" s="123"/>
      <c r="S296" s="123">
        <f t="shared" si="138"/>
        <v>0.57314597341476392</v>
      </c>
    </row>
    <row r="297" spans="1:19" s="119" customFormat="1" ht="21.75" customHeight="1" x14ac:dyDescent="0.2">
      <c r="A297" s="189" t="s">
        <v>373</v>
      </c>
      <c r="B297" s="190" t="s">
        <v>312</v>
      </c>
      <c r="C297" s="190"/>
      <c r="D297" s="190"/>
      <c r="E297" s="191"/>
      <c r="F297" s="191"/>
      <c r="G297" s="116">
        <f t="shared" ref="G297:J302" si="143">SUM(G298)</f>
        <v>240</v>
      </c>
      <c r="H297" s="116">
        <f t="shared" si="143"/>
        <v>702.7</v>
      </c>
      <c r="I297" s="116">
        <f t="shared" si="143"/>
        <v>702.66399999999999</v>
      </c>
      <c r="J297" s="116">
        <f t="shared" si="143"/>
        <v>702.66399999999999</v>
      </c>
      <c r="K297" s="116">
        <f t="shared" si="129"/>
        <v>-3.6000000000058208E-2</v>
      </c>
      <c r="L297" s="118">
        <f t="shared" si="136"/>
        <v>99.994876903372699</v>
      </c>
      <c r="M297" s="116">
        <f t="shared" si="130"/>
        <v>0</v>
      </c>
      <c r="N297" s="116">
        <f t="shared" si="131"/>
        <v>100</v>
      </c>
      <c r="O297" s="116">
        <f t="shared" si="134"/>
        <v>292.77666666666664</v>
      </c>
      <c r="P297" s="116">
        <f t="shared" si="132"/>
        <v>99.994876903372699</v>
      </c>
      <c r="Q297" s="116">
        <f t="shared" si="133"/>
        <v>462.70000000000005</v>
      </c>
      <c r="R297" s="116">
        <f t="shared" si="135"/>
        <v>292.79166666666669</v>
      </c>
      <c r="S297" s="116">
        <f t="shared" si="138"/>
        <v>0.68275082843644841</v>
      </c>
    </row>
    <row r="298" spans="1:19" s="119" customFormat="1" ht="23.25" customHeight="1" x14ac:dyDescent="0.2">
      <c r="A298" s="189" t="s">
        <v>374</v>
      </c>
      <c r="B298" s="190" t="s">
        <v>312</v>
      </c>
      <c r="C298" s="190" t="s">
        <v>310</v>
      </c>
      <c r="D298" s="190"/>
      <c r="E298" s="191"/>
      <c r="F298" s="191"/>
      <c r="G298" s="116">
        <f t="shared" si="143"/>
        <v>240</v>
      </c>
      <c r="H298" s="116">
        <f t="shared" si="143"/>
        <v>702.7</v>
      </c>
      <c r="I298" s="116">
        <f t="shared" si="143"/>
        <v>702.66399999999999</v>
      </c>
      <c r="J298" s="116">
        <f t="shared" si="143"/>
        <v>702.66399999999999</v>
      </c>
      <c r="K298" s="116">
        <f t="shared" si="129"/>
        <v>-3.6000000000058208E-2</v>
      </c>
      <c r="L298" s="118">
        <f t="shared" si="136"/>
        <v>99.994876903372699</v>
      </c>
      <c r="M298" s="116">
        <f t="shared" si="130"/>
        <v>0</v>
      </c>
      <c r="N298" s="116">
        <f t="shared" si="131"/>
        <v>100</v>
      </c>
      <c r="O298" s="116">
        <f t="shared" si="134"/>
        <v>292.77666666666664</v>
      </c>
      <c r="P298" s="116">
        <f t="shared" si="132"/>
        <v>99.994876903372699</v>
      </c>
      <c r="Q298" s="116">
        <f t="shared" si="133"/>
        <v>462.70000000000005</v>
      </c>
      <c r="R298" s="116">
        <f t="shared" si="135"/>
        <v>292.79166666666669</v>
      </c>
      <c r="S298" s="116">
        <f t="shared" si="138"/>
        <v>0.68275082843644841</v>
      </c>
    </row>
    <row r="299" spans="1:19" ht="26.25" customHeight="1" x14ac:dyDescent="0.2">
      <c r="A299" s="192" t="s">
        <v>390</v>
      </c>
      <c r="B299" s="193" t="s">
        <v>312</v>
      </c>
      <c r="C299" s="193" t="s">
        <v>310</v>
      </c>
      <c r="D299" s="193" t="s">
        <v>391</v>
      </c>
      <c r="E299" s="194"/>
      <c r="F299" s="194"/>
      <c r="G299" s="123">
        <f t="shared" si="143"/>
        <v>240</v>
      </c>
      <c r="H299" s="123">
        <f t="shared" si="143"/>
        <v>702.7</v>
      </c>
      <c r="I299" s="123">
        <f t="shared" si="143"/>
        <v>702.66399999999999</v>
      </c>
      <c r="J299" s="123">
        <f t="shared" si="143"/>
        <v>702.66399999999999</v>
      </c>
      <c r="K299" s="123">
        <f t="shared" si="129"/>
        <v>-3.6000000000058208E-2</v>
      </c>
      <c r="L299" s="118">
        <f t="shared" si="136"/>
        <v>99.994876903372699</v>
      </c>
      <c r="M299" s="123">
        <f t="shared" si="130"/>
        <v>0</v>
      </c>
      <c r="N299" s="123">
        <f t="shared" si="131"/>
        <v>100</v>
      </c>
      <c r="O299" s="123">
        <f t="shared" si="134"/>
        <v>292.77666666666664</v>
      </c>
      <c r="P299" s="123">
        <f t="shared" si="132"/>
        <v>99.994876903372699</v>
      </c>
      <c r="Q299" s="123">
        <f t="shared" si="133"/>
        <v>462.70000000000005</v>
      </c>
      <c r="R299" s="123">
        <f t="shared" si="135"/>
        <v>292.79166666666669</v>
      </c>
      <c r="S299" s="123">
        <f t="shared" si="138"/>
        <v>0.68275082843644841</v>
      </c>
    </row>
    <row r="300" spans="1:19" ht="43.15" customHeight="1" x14ac:dyDescent="0.2">
      <c r="A300" s="125" t="s">
        <v>392</v>
      </c>
      <c r="B300" s="193" t="s">
        <v>312</v>
      </c>
      <c r="C300" s="193" t="s">
        <v>310</v>
      </c>
      <c r="D300" s="193" t="s">
        <v>393</v>
      </c>
      <c r="E300" s="194"/>
      <c r="F300" s="194"/>
      <c r="G300" s="123">
        <f t="shared" si="143"/>
        <v>240</v>
      </c>
      <c r="H300" s="123">
        <f>SUM(H301)</f>
        <v>702.7</v>
      </c>
      <c r="I300" s="123">
        <f t="shared" si="143"/>
        <v>702.66399999999999</v>
      </c>
      <c r="J300" s="123">
        <f t="shared" si="143"/>
        <v>702.66399999999999</v>
      </c>
      <c r="K300" s="123">
        <f t="shared" si="129"/>
        <v>-3.6000000000058208E-2</v>
      </c>
      <c r="L300" s="118">
        <f t="shared" si="136"/>
        <v>99.994876903372699</v>
      </c>
      <c r="M300" s="123">
        <f t="shared" si="130"/>
        <v>0</v>
      </c>
      <c r="N300" s="123">
        <f t="shared" si="131"/>
        <v>100</v>
      </c>
      <c r="O300" s="123">
        <f t="shared" si="134"/>
        <v>292.77666666666664</v>
      </c>
      <c r="P300" s="123">
        <f t="shared" si="132"/>
        <v>99.994876903372699</v>
      </c>
      <c r="Q300" s="123">
        <f t="shared" si="133"/>
        <v>462.70000000000005</v>
      </c>
      <c r="R300" s="123">
        <f t="shared" si="135"/>
        <v>292.79166666666669</v>
      </c>
      <c r="S300" s="123">
        <f t="shared" si="138"/>
        <v>0.68275082843644841</v>
      </c>
    </row>
    <row r="301" spans="1:19" ht="21" customHeight="1" x14ac:dyDescent="0.2">
      <c r="A301" s="131" t="s">
        <v>538</v>
      </c>
      <c r="B301" s="132">
        <v>10</v>
      </c>
      <c r="C301" s="133">
        <v>1</v>
      </c>
      <c r="D301" s="169">
        <v>4010071600</v>
      </c>
      <c r="E301" s="171"/>
      <c r="F301" s="171"/>
      <c r="G301" s="123">
        <f t="shared" si="143"/>
        <v>240</v>
      </c>
      <c r="H301" s="123">
        <f t="shared" si="143"/>
        <v>702.7</v>
      </c>
      <c r="I301" s="123">
        <f t="shared" si="143"/>
        <v>702.66399999999999</v>
      </c>
      <c r="J301" s="123">
        <f t="shared" si="143"/>
        <v>702.66399999999999</v>
      </c>
      <c r="K301" s="123">
        <f t="shared" si="129"/>
        <v>-3.6000000000058208E-2</v>
      </c>
      <c r="L301" s="118">
        <f t="shared" si="136"/>
        <v>99.994876903372699</v>
      </c>
      <c r="M301" s="123">
        <f t="shared" si="130"/>
        <v>0</v>
      </c>
      <c r="N301" s="123">
        <f t="shared" si="131"/>
        <v>100</v>
      </c>
      <c r="O301" s="123">
        <f t="shared" si="134"/>
        <v>292.77666666666664</v>
      </c>
      <c r="P301" s="123">
        <f t="shared" si="132"/>
        <v>99.994876903372699</v>
      </c>
      <c r="Q301" s="123">
        <f t="shared" si="133"/>
        <v>462.70000000000005</v>
      </c>
      <c r="R301" s="123">
        <f t="shared" si="135"/>
        <v>292.79166666666669</v>
      </c>
      <c r="S301" s="123">
        <f t="shared" si="138"/>
        <v>0.68275082843644841</v>
      </c>
    </row>
    <row r="302" spans="1:19" ht="29.25" customHeight="1" x14ac:dyDescent="0.2">
      <c r="A302" s="131" t="s">
        <v>455</v>
      </c>
      <c r="B302" s="132">
        <v>10</v>
      </c>
      <c r="C302" s="133">
        <v>1</v>
      </c>
      <c r="D302" s="169">
        <v>4010071600</v>
      </c>
      <c r="E302" s="171">
        <v>300</v>
      </c>
      <c r="F302" s="171"/>
      <c r="G302" s="123">
        <f t="shared" si="143"/>
        <v>240</v>
      </c>
      <c r="H302" s="123">
        <f t="shared" si="143"/>
        <v>702.7</v>
      </c>
      <c r="I302" s="123">
        <f t="shared" si="143"/>
        <v>702.66399999999999</v>
      </c>
      <c r="J302" s="123">
        <f t="shared" si="143"/>
        <v>702.66399999999999</v>
      </c>
      <c r="K302" s="123">
        <f t="shared" si="129"/>
        <v>-3.6000000000058208E-2</v>
      </c>
      <c r="L302" s="118">
        <f t="shared" si="136"/>
        <v>99.994876903372699</v>
      </c>
      <c r="M302" s="123">
        <f t="shared" si="130"/>
        <v>0</v>
      </c>
      <c r="N302" s="123">
        <f t="shared" si="131"/>
        <v>100</v>
      </c>
      <c r="O302" s="123">
        <f t="shared" si="134"/>
        <v>292.77666666666664</v>
      </c>
      <c r="P302" s="123">
        <f t="shared" si="132"/>
        <v>99.994876903372699</v>
      </c>
      <c r="Q302" s="123">
        <f t="shared" si="133"/>
        <v>462.70000000000005</v>
      </c>
      <c r="R302" s="123">
        <f t="shared" si="135"/>
        <v>292.79166666666669</v>
      </c>
      <c r="S302" s="123">
        <f t="shared" si="138"/>
        <v>0.68275082843644841</v>
      </c>
    </row>
    <row r="303" spans="1:19" ht="30" customHeight="1" x14ac:dyDescent="0.2">
      <c r="A303" s="131" t="s">
        <v>539</v>
      </c>
      <c r="B303" s="132">
        <v>10</v>
      </c>
      <c r="C303" s="133">
        <v>1</v>
      </c>
      <c r="D303" s="169">
        <v>4010071600</v>
      </c>
      <c r="E303" s="171">
        <v>312</v>
      </c>
      <c r="F303" s="171">
        <v>264</v>
      </c>
      <c r="G303" s="123">
        <v>240</v>
      </c>
      <c r="H303" s="123">
        <v>702.7</v>
      </c>
      <c r="I303" s="123">
        <v>702.66399999999999</v>
      </c>
      <c r="J303" s="123">
        <v>702.66399999999999</v>
      </c>
      <c r="K303" s="123">
        <f t="shared" si="129"/>
        <v>-3.6000000000058208E-2</v>
      </c>
      <c r="L303" s="118">
        <f t="shared" si="136"/>
        <v>99.994876903372699</v>
      </c>
      <c r="M303" s="123">
        <f t="shared" si="130"/>
        <v>0</v>
      </c>
      <c r="N303" s="123">
        <f t="shared" si="131"/>
        <v>100</v>
      </c>
      <c r="O303" s="123">
        <f t="shared" si="134"/>
        <v>292.77666666666664</v>
      </c>
      <c r="P303" s="123">
        <f t="shared" si="132"/>
        <v>99.994876903372699</v>
      </c>
      <c r="Q303" s="123">
        <f t="shared" si="133"/>
        <v>462.70000000000005</v>
      </c>
      <c r="R303" s="123">
        <f t="shared" si="135"/>
        <v>292.79166666666669</v>
      </c>
      <c r="S303" s="123">
        <f t="shared" si="138"/>
        <v>0.68275082843644841</v>
      </c>
    </row>
    <row r="304" spans="1:19" s="119" customFormat="1" ht="21" customHeight="1" x14ac:dyDescent="0.2">
      <c r="A304" s="120" t="s">
        <v>540</v>
      </c>
      <c r="B304" s="129">
        <v>11</v>
      </c>
      <c r="C304" s="129"/>
      <c r="D304" s="129"/>
      <c r="E304" s="129"/>
      <c r="F304" s="129"/>
      <c r="G304" s="116">
        <f>SUM(G307)+G305</f>
        <v>65.7</v>
      </c>
      <c r="H304" s="116">
        <f>SUM(H307)</f>
        <v>16330.2</v>
      </c>
      <c r="I304" s="116">
        <f>SUM(I307)</f>
        <v>16330.240820000003</v>
      </c>
      <c r="J304" s="116">
        <f>SUM(J307)</f>
        <v>16330.240820000003</v>
      </c>
      <c r="K304" s="116">
        <f t="shared" si="129"/>
        <v>4.0820000001986045E-2</v>
      </c>
      <c r="L304" s="116">
        <f t="shared" si="136"/>
        <v>100.00024996632008</v>
      </c>
      <c r="M304" s="116">
        <f t="shared" si="130"/>
        <v>0</v>
      </c>
      <c r="N304" s="116">
        <f t="shared" si="131"/>
        <v>100</v>
      </c>
      <c r="O304" s="116">
        <f t="shared" si="134"/>
        <v>24855.769893455101</v>
      </c>
      <c r="P304" s="116">
        <f t="shared" si="132"/>
        <v>100.00024996632008</v>
      </c>
      <c r="Q304" s="116">
        <f t="shared" si="133"/>
        <v>16264.5</v>
      </c>
      <c r="R304" s="116">
        <f t="shared" si="135"/>
        <v>24855.707762557078</v>
      </c>
      <c r="S304" s="116">
        <f t="shared" si="138"/>
        <v>15.867449376119611</v>
      </c>
    </row>
    <row r="305" spans="1:19" s="119" customFormat="1" ht="21" customHeight="1" x14ac:dyDescent="0.2">
      <c r="A305" s="120"/>
      <c r="B305" s="129">
        <v>11</v>
      </c>
      <c r="C305" s="115" t="s">
        <v>310</v>
      </c>
      <c r="D305" s="129"/>
      <c r="E305" s="129"/>
      <c r="F305" s="129"/>
      <c r="G305" s="116">
        <f>G306</f>
        <v>65.7</v>
      </c>
      <c r="H305" s="116"/>
      <c r="I305" s="116"/>
      <c r="J305" s="116"/>
      <c r="K305" s="116">
        <f t="shared" si="129"/>
        <v>0</v>
      </c>
      <c r="L305" s="116"/>
      <c r="M305" s="116">
        <f t="shared" si="130"/>
        <v>0</v>
      </c>
      <c r="N305" s="116"/>
      <c r="O305" s="116">
        <f t="shared" si="134"/>
        <v>0</v>
      </c>
      <c r="P305" s="116"/>
      <c r="Q305" s="116">
        <f t="shared" si="133"/>
        <v>-65.7</v>
      </c>
      <c r="R305" s="116">
        <f t="shared" si="135"/>
        <v>0</v>
      </c>
      <c r="S305" s="116">
        <f t="shared" si="138"/>
        <v>0</v>
      </c>
    </row>
    <row r="306" spans="1:19" s="198" customFormat="1" ht="21" customHeight="1" x14ac:dyDescent="0.2">
      <c r="A306" s="195"/>
      <c r="B306" s="196">
        <v>11</v>
      </c>
      <c r="C306" s="197" t="s">
        <v>310</v>
      </c>
      <c r="D306" s="197" t="s">
        <v>541</v>
      </c>
      <c r="E306" s="197" t="s">
        <v>419</v>
      </c>
      <c r="F306" s="196"/>
      <c r="G306" s="118">
        <v>65.7</v>
      </c>
      <c r="H306" s="118"/>
      <c r="I306" s="118"/>
      <c r="J306" s="118"/>
      <c r="K306" s="118">
        <f t="shared" si="129"/>
        <v>0</v>
      </c>
      <c r="L306" s="118"/>
      <c r="M306" s="118">
        <f t="shared" si="130"/>
        <v>0</v>
      </c>
      <c r="N306" s="118"/>
      <c r="O306" s="118">
        <f t="shared" si="134"/>
        <v>0</v>
      </c>
      <c r="P306" s="118"/>
      <c r="Q306" s="118">
        <f t="shared" si="133"/>
        <v>-65.7</v>
      </c>
      <c r="R306" s="118">
        <f t="shared" si="135"/>
        <v>0</v>
      </c>
      <c r="S306" s="118">
        <f t="shared" si="138"/>
        <v>0</v>
      </c>
    </row>
    <row r="307" spans="1:19" s="119" customFormat="1" ht="23.25" customHeight="1" x14ac:dyDescent="0.2">
      <c r="A307" s="114" t="s">
        <v>378</v>
      </c>
      <c r="B307" s="187">
        <v>11</v>
      </c>
      <c r="C307" s="183">
        <v>2</v>
      </c>
      <c r="D307" s="115"/>
      <c r="E307" s="129"/>
      <c r="F307" s="129"/>
      <c r="G307" s="116">
        <f>G308+G316</f>
        <v>0</v>
      </c>
      <c r="H307" s="116">
        <f>H308+H316</f>
        <v>16330.2</v>
      </c>
      <c r="I307" s="116">
        <f>I308+I316</f>
        <v>16330.240820000003</v>
      </c>
      <c r="J307" s="116">
        <f>J308+J316</f>
        <v>16330.240820000003</v>
      </c>
      <c r="K307" s="116">
        <f t="shared" si="129"/>
        <v>4.0820000001986045E-2</v>
      </c>
      <c r="L307" s="116">
        <f t="shared" si="136"/>
        <v>100.00024996632008</v>
      </c>
      <c r="M307" s="116">
        <f t="shared" si="130"/>
        <v>0</v>
      </c>
      <c r="N307" s="116">
        <f t="shared" si="131"/>
        <v>100</v>
      </c>
      <c r="O307" s="116"/>
      <c r="P307" s="116">
        <f t="shared" si="132"/>
        <v>100.00024996632008</v>
      </c>
      <c r="Q307" s="116">
        <f t="shared" si="133"/>
        <v>16330.2</v>
      </c>
      <c r="R307" s="116"/>
      <c r="S307" s="116">
        <f t="shared" si="138"/>
        <v>15.867449376119611</v>
      </c>
    </row>
    <row r="308" spans="1:19" ht="27" customHeight="1" x14ac:dyDescent="0.2">
      <c r="A308" s="168" t="s">
        <v>390</v>
      </c>
      <c r="B308" s="132">
        <v>11</v>
      </c>
      <c r="C308" s="133">
        <v>2</v>
      </c>
      <c r="D308" s="134">
        <v>4000000000</v>
      </c>
      <c r="E308" s="135"/>
      <c r="F308" s="135"/>
      <c r="G308" s="123">
        <f t="shared" ref="G308:J311" si="144">SUM(G309)</f>
        <v>0</v>
      </c>
      <c r="H308" s="123">
        <f t="shared" si="144"/>
        <v>90.7</v>
      </c>
      <c r="I308" s="123">
        <f t="shared" si="144"/>
        <v>90.7</v>
      </c>
      <c r="J308" s="123">
        <f t="shared" si="144"/>
        <v>90.7</v>
      </c>
      <c r="K308" s="123">
        <f t="shared" si="129"/>
        <v>0</v>
      </c>
      <c r="L308" s="118">
        <f t="shared" si="136"/>
        <v>100</v>
      </c>
      <c r="M308" s="123">
        <f t="shared" si="130"/>
        <v>0</v>
      </c>
      <c r="N308" s="123">
        <f t="shared" si="131"/>
        <v>100</v>
      </c>
      <c r="O308" s="123"/>
      <c r="P308" s="123">
        <f t="shared" si="132"/>
        <v>100</v>
      </c>
      <c r="Q308" s="123">
        <f t="shared" si="133"/>
        <v>90.7</v>
      </c>
      <c r="R308" s="123"/>
      <c r="S308" s="123">
        <f t="shared" si="138"/>
        <v>8.8129604105498319E-2</v>
      </c>
    </row>
    <row r="309" spans="1:19" ht="43.15" customHeight="1" x14ac:dyDescent="0.2">
      <c r="A309" s="131" t="s">
        <v>542</v>
      </c>
      <c r="B309" s="151">
        <v>11</v>
      </c>
      <c r="C309" s="152">
        <v>2</v>
      </c>
      <c r="D309" s="135">
        <v>4100000000</v>
      </c>
      <c r="E309" s="135"/>
      <c r="F309" s="135"/>
      <c r="G309" s="123">
        <f t="shared" si="144"/>
        <v>0</v>
      </c>
      <c r="H309" s="123">
        <f t="shared" si="144"/>
        <v>90.7</v>
      </c>
      <c r="I309" s="123">
        <f t="shared" si="144"/>
        <v>90.7</v>
      </c>
      <c r="J309" s="123">
        <f t="shared" si="144"/>
        <v>90.7</v>
      </c>
      <c r="K309" s="123">
        <f t="shared" si="129"/>
        <v>0</v>
      </c>
      <c r="L309" s="118">
        <f t="shared" si="136"/>
        <v>100</v>
      </c>
      <c r="M309" s="123">
        <f t="shared" si="130"/>
        <v>0</v>
      </c>
      <c r="N309" s="123">
        <f t="shared" si="131"/>
        <v>100</v>
      </c>
      <c r="O309" s="123"/>
      <c r="P309" s="123">
        <f t="shared" si="132"/>
        <v>100</v>
      </c>
      <c r="Q309" s="123">
        <f t="shared" si="133"/>
        <v>90.7</v>
      </c>
      <c r="R309" s="123"/>
      <c r="S309" s="123">
        <f t="shared" si="138"/>
        <v>8.8129604105498319E-2</v>
      </c>
    </row>
    <row r="310" spans="1:19" ht="31.5" customHeight="1" x14ac:dyDescent="0.2">
      <c r="A310" s="86" t="s">
        <v>543</v>
      </c>
      <c r="B310" s="151">
        <v>11</v>
      </c>
      <c r="C310" s="152">
        <v>2</v>
      </c>
      <c r="D310" s="135">
        <v>4100020800</v>
      </c>
      <c r="E310" s="135"/>
      <c r="F310" s="135"/>
      <c r="G310" s="123">
        <f t="shared" si="144"/>
        <v>0</v>
      </c>
      <c r="H310" s="123">
        <f t="shared" si="144"/>
        <v>90.7</v>
      </c>
      <c r="I310" s="123">
        <f t="shared" si="144"/>
        <v>90.7</v>
      </c>
      <c r="J310" s="123">
        <f t="shared" si="144"/>
        <v>90.7</v>
      </c>
      <c r="K310" s="123">
        <f t="shared" si="129"/>
        <v>0</v>
      </c>
      <c r="L310" s="118">
        <f t="shared" si="136"/>
        <v>100</v>
      </c>
      <c r="M310" s="123">
        <f t="shared" si="130"/>
        <v>0</v>
      </c>
      <c r="N310" s="123">
        <f t="shared" si="131"/>
        <v>100</v>
      </c>
      <c r="O310" s="123"/>
      <c r="P310" s="123">
        <f t="shared" si="132"/>
        <v>100</v>
      </c>
      <c r="Q310" s="123">
        <f t="shared" si="133"/>
        <v>90.7</v>
      </c>
      <c r="R310" s="123"/>
      <c r="S310" s="123">
        <f t="shared" si="138"/>
        <v>8.8129604105498319E-2</v>
      </c>
    </row>
    <row r="311" spans="1:19" ht="39.75" customHeight="1" x14ac:dyDescent="0.2">
      <c r="A311" s="125" t="s">
        <v>416</v>
      </c>
      <c r="B311" s="151">
        <v>11</v>
      </c>
      <c r="C311" s="152">
        <v>2</v>
      </c>
      <c r="D311" s="135">
        <v>4100020800</v>
      </c>
      <c r="E311" s="135">
        <v>200</v>
      </c>
      <c r="F311" s="135"/>
      <c r="G311" s="123">
        <f t="shared" si="144"/>
        <v>0</v>
      </c>
      <c r="H311" s="123">
        <f t="shared" si="144"/>
        <v>90.7</v>
      </c>
      <c r="I311" s="123">
        <f t="shared" si="144"/>
        <v>90.7</v>
      </c>
      <c r="J311" s="123">
        <f t="shared" si="144"/>
        <v>90.7</v>
      </c>
      <c r="K311" s="123">
        <f t="shared" si="129"/>
        <v>0</v>
      </c>
      <c r="L311" s="118">
        <f t="shared" si="136"/>
        <v>100</v>
      </c>
      <c r="M311" s="123">
        <f t="shared" si="130"/>
        <v>0</v>
      </c>
      <c r="N311" s="123">
        <f t="shared" si="131"/>
        <v>100</v>
      </c>
      <c r="O311" s="123"/>
      <c r="P311" s="123">
        <f t="shared" si="132"/>
        <v>100</v>
      </c>
      <c r="Q311" s="123">
        <f t="shared" si="133"/>
        <v>90.7</v>
      </c>
      <c r="R311" s="123"/>
      <c r="S311" s="123">
        <f t="shared" si="138"/>
        <v>8.8129604105498319E-2</v>
      </c>
    </row>
    <row r="312" spans="1:19" ht="45" customHeight="1" x14ac:dyDescent="0.2">
      <c r="A312" s="131" t="s">
        <v>418</v>
      </c>
      <c r="B312" s="151">
        <v>11</v>
      </c>
      <c r="C312" s="152">
        <v>2</v>
      </c>
      <c r="D312" s="135">
        <v>4100020800</v>
      </c>
      <c r="E312" s="135">
        <v>240</v>
      </c>
      <c r="F312" s="135"/>
      <c r="G312" s="123"/>
      <c r="H312" s="123">
        <v>90.7</v>
      </c>
      <c r="I312" s="123">
        <f>I313+I314+I315</f>
        <v>90.7</v>
      </c>
      <c r="J312" s="123">
        <f>J313+J314+J315</f>
        <v>90.7</v>
      </c>
      <c r="K312" s="123">
        <f t="shared" si="129"/>
        <v>0</v>
      </c>
      <c r="L312" s="118">
        <f>I312/H312*100</f>
        <v>100</v>
      </c>
      <c r="M312" s="123">
        <f t="shared" si="130"/>
        <v>0</v>
      </c>
      <c r="N312" s="123">
        <f t="shared" si="131"/>
        <v>100</v>
      </c>
      <c r="O312" s="123"/>
      <c r="P312" s="123">
        <f t="shared" si="132"/>
        <v>100</v>
      </c>
      <c r="Q312" s="123">
        <f t="shared" si="133"/>
        <v>90.7</v>
      </c>
      <c r="R312" s="123"/>
      <c r="S312" s="123">
        <f t="shared" si="138"/>
        <v>8.8129604105498319E-2</v>
      </c>
    </row>
    <row r="313" spans="1:19" ht="18.75" customHeight="1" x14ac:dyDescent="0.2">
      <c r="A313" s="199"/>
      <c r="B313" s="151">
        <v>11</v>
      </c>
      <c r="C313" s="152">
        <v>2</v>
      </c>
      <c r="D313" s="135">
        <v>4100020800</v>
      </c>
      <c r="E313" s="135">
        <v>244</v>
      </c>
      <c r="F313" s="135">
        <v>222</v>
      </c>
      <c r="G313" s="123"/>
      <c r="H313" s="123"/>
      <c r="I313" s="123">
        <v>6.3559999999999999</v>
      </c>
      <c r="J313" s="123">
        <v>6.3559999999999999</v>
      </c>
      <c r="K313" s="123"/>
      <c r="L313" s="118"/>
      <c r="M313" s="123">
        <f t="shared" si="130"/>
        <v>0</v>
      </c>
      <c r="N313" s="123"/>
      <c r="O313" s="123"/>
      <c r="P313" s="123"/>
      <c r="Q313" s="123"/>
      <c r="R313" s="123"/>
      <c r="S313" s="123"/>
    </row>
    <row r="314" spans="1:19" ht="20.25" customHeight="1" x14ac:dyDescent="0.2">
      <c r="A314" s="199"/>
      <c r="B314" s="151">
        <v>11</v>
      </c>
      <c r="C314" s="152">
        <v>2</v>
      </c>
      <c r="D314" s="135">
        <v>4100020800</v>
      </c>
      <c r="E314" s="135">
        <v>244</v>
      </c>
      <c r="F314" s="135">
        <v>310</v>
      </c>
      <c r="G314" s="123"/>
      <c r="H314" s="123"/>
      <c r="I314" s="123">
        <v>45</v>
      </c>
      <c r="J314" s="123">
        <v>45</v>
      </c>
      <c r="K314" s="123"/>
      <c r="L314" s="118"/>
      <c r="M314" s="123">
        <f t="shared" si="130"/>
        <v>0</v>
      </c>
      <c r="N314" s="123"/>
      <c r="O314" s="123"/>
      <c r="P314" s="123"/>
      <c r="Q314" s="123"/>
      <c r="R314" s="123"/>
      <c r="S314" s="123"/>
    </row>
    <row r="315" spans="1:19" ht="18.75" customHeight="1" x14ac:dyDescent="0.2">
      <c r="A315" s="199"/>
      <c r="B315" s="151">
        <v>11</v>
      </c>
      <c r="C315" s="152">
        <v>2</v>
      </c>
      <c r="D315" s="135">
        <v>4100020800</v>
      </c>
      <c r="E315" s="135">
        <v>244</v>
      </c>
      <c r="F315" s="135">
        <v>349</v>
      </c>
      <c r="G315" s="123"/>
      <c r="H315" s="123"/>
      <c r="I315" s="123">
        <v>39.344000000000001</v>
      </c>
      <c r="J315" s="123">
        <v>39.344000000000001</v>
      </c>
      <c r="K315" s="123"/>
      <c r="L315" s="118"/>
      <c r="M315" s="123">
        <f t="shared" si="130"/>
        <v>0</v>
      </c>
      <c r="N315" s="123"/>
      <c r="O315" s="123"/>
      <c r="P315" s="123"/>
      <c r="Q315" s="123"/>
      <c r="R315" s="123"/>
      <c r="S315" s="123"/>
    </row>
    <row r="316" spans="1:19" ht="48.75" customHeight="1" x14ac:dyDescent="0.2">
      <c r="A316" s="200" t="s">
        <v>544</v>
      </c>
      <c r="B316" s="151">
        <v>11</v>
      </c>
      <c r="C316" s="152">
        <v>2</v>
      </c>
      <c r="D316" s="122" t="s">
        <v>545</v>
      </c>
      <c r="E316" s="141"/>
      <c r="F316" s="141"/>
      <c r="G316" s="201">
        <f>SUM(G317)</f>
        <v>0</v>
      </c>
      <c r="H316" s="201">
        <f>SUM(H317)</f>
        <v>16239.5</v>
      </c>
      <c r="I316" s="201">
        <f>SUM(I317)</f>
        <v>16239.540820000002</v>
      </c>
      <c r="J316" s="201">
        <f>SUM(J317)</f>
        <v>16239.540820000002</v>
      </c>
      <c r="K316" s="123">
        <f t="shared" ref="K316:K329" si="145">I316-H316</f>
        <v>4.0820000001986045E-2</v>
      </c>
      <c r="L316" s="118">
        <f t="shared" si="136"/>
        <v>100.00025136241881</v>
      </c>
      <c r="M316" s="123">
        <f t="shared" si="130"/>
        <v>0</v>
      </c>
      <c r="N316" s="123">
        <f t="shared" ref="N316:N329" si="146">J316/I316*100</f>
        <v>100</v>
      </c>
      <c r="O316" s="123"/>
      <c r="P316" s="123">
        <f t="shared" ref="P316:P329" si="147">J316/H316*100</f>
        <v>100.00025136241881</v>
      </c>
      <c r="Q316" s="123">
        <f t="shared" ref="Q316:Q329" si="148">H316-G316</f>
        <v>16239.5</v>
      </c>
      <c r="R316" s="123"/>
      <c r="S316" s="123">
        <f t="shared" ref="S316:S323" si="149">J316/$J$329*100</f>
        <v>15.779319772014111</v>
      </c>
    </row>
    <row r="317" spans="1:19" ht="53.25" customHeight="1" x14ac:dyDescent="0.2">
      <c r="A317" s="125" t="s">
        <v>546</v>
      </c>
      <c r="B317" s="151">
        <v>11</v>
      </c>
      <c r="C317" s="152">
        <v>2</v>
      </c>
      <c r="D317" s="122" t="s">
        <v>547</v>
      </c>
      <c r="E317" s="141"/>
      <c r="F317" s="141"/>
      <c r="G317" s="201">
        <f>SUM(G318+G321+G326)</f>
        <v>0</v>
      </c>
      <c r="H317" s="201">
        <f>SUM(H318+H321+H326)</f>
        <v>16239.5</v>
      </c>
      <c r="I317" s="201">
        <f>SUM(I318+I321+I326)</f>
        <v>16239.540820000002</v>
      </c>
      <c r="J317" s="201">
        <f>SUM(J318+J321+J326)</f>
        <v>16239.540820000002</v>
      </c>
      <c r="K317" s="123">
        <f t="shared" si="145"/>
        <v>4.0820000001986045E-2</v>
      </c>
      <c r="L317" s="118">
        <f t="shared" si="136"/>
        <v>100.00025136241881</v>
      </c>
      <c r="M317" s="123">
        <f t="shared" si="130"/>
        <v>0</v>
      </c>
      <c r="N317" s="123">
        <f t="shared" si="146"/>
        <v>100</v>
      </c>
      <c r="O317" s="123"/>
      <c r="P317" s="123">
        <f t="shared" si="147"/>
        <v>100.00025136241881</v>
      </c>
      <c r="Q317" s="123">
        <f t="shared" si="148"/>
        <v>16239.5</v>
      </c>
      <c r="R317" s="123"/>
      <c r="S317" s="123">
        <f t="shared" si="149"/>
        <v>15.779319772014111</v>
      </c>
    </row>
    <row r="318" spans="1:19" ht="67.5" customHeight="1" x14ac:dyDescent="0.2">
      <c r="A318" s="125" t="s">
        <v>548</v>
      </c>
      <c r="B318" s="151">
        <v>11</v>
      </c>
      <c r="C318" s="152">
        <v>2</v>
      </c>
      <c r="D318" s="188" t="s">
        <v>549</v>
      </c>
      <c r="E318" s="135"/>
      <c r="F318" s="135"/>
      <c r="G318" s="123">
        <f t="shared" ref="G318:J319" si="150">SUM(G319)</f>
        <v>0</v>
      </c>
      <c r="H318" s="123">
        <f t="shared" si="150"/>
        <v>10000</v>
      </c>
      <c r="I318" s="123">
        <f t="shared" si="150"/>
        <v>10000</v>
      </c>
      <c r="J318" s="123">
        <f t="shared" si="150"/>
        <v>10000</v>
      </c>
      <c r="K318" s="123">
        <f t="shared" si="145"/>
        <v>0</v>
      </c>
      <c r="L318" s="118">
        <f t="shared" si="136"/>
        <v>100</v>
      </c>
      <c r="M318" s="123">
        <f t="shared" si="130"/>
        <v>0</v>
      </c>
      <c r="N318" s="123">
        <f t="shared" si="146"/>
        <v>100</v>
      </c>
      <c r="O318" s="123"/>
      <c r="P318" s="123">
        <f t="shared" si="147"/>
        <v>100</v>
      </c>
      <c r="Q318" s="123">
        <f t="shared" si="148"/>
        <v>10000</v>
      </c>
      <c r="R318" s="123"/>
      <c r="S318" s="123">
        <f t="shared" si="149"/>
        <v>9.7166046422820642</v>
      </c>
    </row>
    <row r="319" spans="1:19" ht="46.5" customHeight="1" x14ac:dyDescent="0.2">
      <c r="A319" s="125" t="s">
        <v>416</v>
      </c>
      <c r="B319" s="151">
        <v>11</v>
      </c>
      <c r="C319" s="152">
        <v>2</v>
      </c>
      <c r="D319" s="188" t="s">
        <v>549</v>
      </c>
      <c r="E319" s="135">
        <v>200</v>
      </c>
      <c r="F319" s="135"/>
      <c r="G319" s="123">
        <f t="shared" si="150"/>
        <v>0</v>
      </c>
      <c r="H319" s="123">
        <f t="shared" si="150"/>
        <v>10000</v>
      </c>
      <c r="I319" s="123">
        <f t="shared" si="150"/>
        <v>10000</v>
      </c>
      <c r="J319" s="123">
        <f t="shared" si="150"/>
        <v>10000</v>
      </c>
      <c r="K319" s="123">
        <f t="shared" si="145"/>
        <v>0</v>
      </c>
      <c r="L319" s="118">
        <f t="shared" si="136"/>
        <v>100</v>
      </c>
      <c r="M319" s="123">
        <f t="shared" si="130"/>
        <v>0</v>
      </c>
      <c r="N319" s="123">
        <f t="shared" si="146"/>
        <v>100</v>
      </c>
      <c r="O319" s="123"/>
      <c r="P319" s="123">
        <f t="shared" si="147"/>
        <v>100</v>
      </c>
      <c r="Q319" s="123">
        <f t="shared" si="148"/>
        <v>10000</v>
      </c>
      <c r="R319" s="123"/>
      <c r="S319" s="123">
        <f t="shared" si="149"/>
        <v>9.7166046422820642</v>
      </c>
    </row>
    <row r="320" spans="1:19" ht="40.9" customHeight="1" x14ac:dyDescent="0.2">
      <c r="A320" s="131" t="s">
        <v>418</v>
      </c>
      <c r="B320" s="151">
        <v>11</v>
      </c>
      <c r="C320" s="152">
        <v>2</v>
      </c>
      <c r="D320" s="188" t="s">
        <v>549</v>
      </c>
      <c r="E320" s="135">
        <v>244</v>
      </c>
      <c r="F320" s="135">
        <v>310</v>
      </c>
      <c r="G320" s="123"/>
      <c r="H320" s="123">
        <v>10000</v>
      </c>
      <c r="I320" s="123">
        <v>10000</v>
      </c>
      <c r="J320" s="123">
        <v>10000</v>
      </c>
      <c r="K320" s="123">
        <f t="shared" si="145"/>
        <v>0</v>
      </c>
      <c r="L320" s="118">
        <f t="shared" si="136"/>
        <v>100</v>
      </c>
      <c r="M320" s="123">
        <f t="shared" si="130"/>
        <v>0</v>
      </c>
      <c r="N320" s="123">
        <f t="shared" si="146"/>
        <v>100</v>
      </c>
      <c r="O320" s="123"/>
      <c r="P320" s="123">
        <f t="shared" si="147"/>
        <v>100</v>
      </c>
      <c r="Q320" s="123">
        <f t="shared" si="148"/>
        <v>10000</v>
      </c>
      <c r="R320" s="123"/>
      <c r="S320" s="123">
        <f t="shared" si="149"/>
        <v>9.7166046422820642</v>
      </c>
    </row>
    <row r="321" spans="1:19" ht="69" customHeight="1" x14ac:dyDescent="0.2">
      <c r="A321" s="182" t="s">
        <v>550</v>
      </c>
      <c r="B321" s="151">
        <v>11</v>
      </c>
      <c r="C321" s="152">
        <v>2</v>
      </c>
      <c r="D321" s="135" t="s">
        <v>551</v>
      </c>
      <c r="E321" s="135"/>
      <c r="F321" s="135"/>
      <c r="G321" s="123">
        <f t="shared" ref="G321:J322" si="151">SUM(G322)</f>
        <v>0</v>
      </c>
      <c r="H321" s="123">
        <f t="shared" si="151"/>
        <v>5883.8</v>
      </c>
      <c r="I321" s="123">
        <f t="shared" si="151"/>
        <v>5883.8408200000003</v>
      </c>
      <c r="J321" s="123">
        <f t="shared" si="151"/>
        <v>5883.8408200000003</v>
      </c>
      <c r="K321" s="123">
        <f t="shared" si="145"/>
        <v>4.0820000000167056E-2</v>
      </c>
      <c r="L321" s="118">
        <f t="shared" si="136"/>
        <v>100.00069376933274</v>
      </c>
      <c r="M321" s="123">
        <f t="shared" si="130"/>
        <v>0</v>
      </c>
      <c r="N321" s="123">
        <f t="shared" si="146"/>
        <v>100</v>
      </c>
      <c r="O321" s="123"/>
      <c r="P321" s="123">
        <f t="shared" si="147"/>
        <v>100.00069376933274</v>
      </c>
      <c r="Q321" s="123">
        <f t="shared" si="148"/>
        <v>5883.8</v>
      </c>
      <c r="R321" s="123"/>
      <c r="S321" s="123">
        <f t="shared" si="149"/>
        <v>5.717095502606071</v>
      </c>
    </row>
    <row r="322" spans="1:19" ht="44.45" customHeight="1" x14ac:dyDescent="0.2">
      <c r="A322" s="125" t="s">
        <v>416</v>
      </c>
      <c r="B322" s="151">
        <v>11</v>
      </c>
      <c r="C322" s="152">
        <v>2</v>
      </c>
      <c r="D322" s="135" t="s">
        <v>551</v>
      </c>
      <c r="E322" s="135">
        <v>200</v>
      </c>
      <c r="F322" s="135"/>
      <c r="G322" s="123">
        <f t="shared" si="151"/>
        <v>0</v>
      </c>
      <c r="H322" s="123">
        <f t="shared" si="151"/>
        <v>5883.8</v>
      </c>
      <c r="I322" s="123">
        <f t="shared" si="151"/>
        <v>5883.8408200000003</v>
      </c>
      <c r="J322" s="123">
        <f t="shared" si="151"/>
        <v>5883.8408200000003</v>
      </c>
      <c r="K322" s="123">
        <f t="shared" si="145"/>
        <v>4.0820000000167056E-2</v>
      </c>
      <c r="L322" s="118">
        <f t="shared" si="136"/>
        <v>100.00069376933274</v>
      </c>
      <c r="M322" s="123">
        <f t="shared" si="130"/>
        <v>0</v>
      </c>
      <c r="N322" s="123">
        <f t="shared" si="146"/>
        <v>100</v>
      </c>
      <c r="O322" s="123"/>
      <c r="P322" s="123">
        <f t="shared" si="147"/>
        <v>100.00069376933274</v>
      </c>
      <c r="Q322" s="123">
        <f t="shared" si="148"/>
        <v>5883.8</v>
      </c>
      <c r="R322" s="123"/>
      <c r="S322" s="123">
        <f t="shared" si="149"/>
        <v>5.717095502606071</v>
      </c>
    </row>
    <row r="323" spans="1:19" ht="39.6" customHeight="1" x14ac:dyDescent="0.2">
      <c r="A323" s="131" t="s">
        <v>418</v>
      </c>
      <c r="B323" s="151">
        <v>11</v>
      </c>
      <c r="C323" s="152">
        <v>2</v>
      </c>
      <c r="D323" s="135" t="s">
        <v>551</v>
      </c>
      <c r="E323" s="135">
        <v>240</v>
      </c>
      <c r="F323" s="135"/>
      <c r="G323" s="123"/>
      <c r="H323" s="123">
        <v>5883.8</v>
      </c>
      <c r="I323" s="123">
        <f>I324+I325</f>
        <v>5883.8408200000003</v>
      </c>
      <c r="J323" s="123">
        <f>J324+J325</f>
        <v>5883.8408200000003</v>
      </c>
      <c r="K323" s="123">
        <f t="shared" si="145"/>
        <v>4.0820000000167056E-2</v>
      </c>
      <c r="L323" s="118">
        <f t="shared" si="136"/>
        <v>100.00069376933274</v>
      </c>
      <c r="M323" s="123">
        <f t="shared" si="130"/>
        <v>0</v>
      </c>
      <c r="N323" s="123">
        <f t="shared" si="146"/>
        <v>100</v>
      </c>
      <c r="O323" s="123"/>
      <c r="P323" s="123">
        <f t="shared" si="147"/>
        <v>100.00069376933274</v>
      </c>
      <c r="Q323" s="123">
        <f t="shared" si="148"/>
        <v>5883.8</v>
      </c>
      <c r="R323" s="123"/>
      <c r="S323" s="123">
        <f t="shared" si="149"/>
        <v>5.717095502606071</v>
      </c>
    </row>
    <row r="324" spans="1:19" ht="21" customHeight="1" x14ac:dyDescent="0.2">
      <c r="A324" s="106"/>
      <c r="B324" s="151">
        <v>11</v>
      </c>
      <c r="C324" s="152">
        <v>2</v>
      </c>
      <c r="D324" s="135" t="s">
        <v>551</v>
      </c>
      <c r="E324" s="135">
        <v>244</v>
      </c>
      <c r="F324" s="135">
        <v>226</v>
      </c>
      <c r="G324" s="123"/>
      <c r="H324" s="123"/>
      <c r="I324" s="123">
        <v>33</v>
      </c>
      <c r="J324" s="123">
        <v>33</v>
      </c>
      <c r="K324" s="123"/>
      <c r="L324" s="118"/>
      <c r="M324" s="123">
        <f t="shared" si="130"/>
        <v>0</v>
      </c>
      <c r="N324" s="123"/>
      <c r="O324" s="123"/>
      <c r="P324" s="123"/>
      <c r="Q324" s="123"/>
      <c r="R324" s="123"/>
      <c r="S324" s="123"/>
    </row>
    <row r="325" spans="1:19" ht="26.25" customHeight="1" x14ac:dyDescent="0.2">
      <c r="A325" s="131"/>
      <c r="B325" s="151">
        <v>11</v>
      </c>
      <c r="C325" s="152">
        <v>2</v>
      </c>
      <c r="D325" s="135" t="s">
        <v>551</v>
      </c>
      <c r="E325" s="135">
        <v>244</v>
      </c>
      <c r="F325" s="135">
        <v>310</v>
      </c>
      <c r="G325" s="123"/>
      <c r="H325" s="123"/>
      <c r="I325" s="123">
        <v>5850.8408200000003</v>
      </c>
      <c r="J325" s="123">
        <v>5850.8408200000003</v>
      </c>
      <c r="K325" s="123"/>
      <c r="L325" s="118"/>
      <c r="M325" s="123">
        <f t="shared" si="130"/>
        <v>0</v>
      </c>
      <c r="N325" s="123"/>
      <c r="O325" s="123"/>
      <c r="P325" s="123"/>
      <c r="Q325" s="123"/>
      <c r="R325" s="123"/>
      <c r="S325" s="123"/>
    </row>
    <row r="326" spans="1:19" ht="67.5" x14ac:dyDescent="0.2">
      <c r="A326" s="131" t="s">
        <v>552</v>
      </c>
      <c r="B326" s="151">
        <v>11</v>
      </c>
      <c r="C326" s="152">
        <v>2</v>
      </c>
      <c r="D326" s="188" t="s">
        <v>553</v>
      </c>
      <c r="E326" s="135"/>
      <c r="F326" s="135"/>
      <c r="G326" s="123">
        <f t="shared" ref="G326:J327" si="152">SUM(G327)</f>
        <v>0</v>
      </c>
      <c r="H326" s="123">
        <f t="shared" si="152"/>
        <v>355.7</v>
      </c>
      <c r="I326" s="123">
        <f t="shared" si="152"/>
        <v>355.7</v>
      </c>
      <c r="J326" s="123">
        <f t="shared" si="152"/>
        <v>355.7</v>
      </c>
      <c r="K326" s="123">
        <f t="shared" si="145"/>
        <v>0</v>
      </c>
      <c r="L326" s="118">
        <f t="shared" si="136"/>
        <v>100</v>
      </c>
      <c r="M326" s="123">
        <f t="shared" si="130"/>
        <v>0</v>
      </c>
      <c r="N326" s="123">
        <f t="shared" si="146"/>
        <v>100</v>
      </c>
      <c r="O326" s="123"/>
      <c r="P326" s="123">
        <f t="shared" si="147"/>
        <v>100</v>
      </c>
      <c r="Q326" s="123">
        <f t="shared" si="148"/>
        <v>355.7</v>
      </c>
      <c r="R326" s="123"/>
      <c r="S326" s="123">
        <f>J326/$J$329*100</f>
        <v>0.34561962712597305</v>
      </c>
    </row>
    <row r="327" spans="1:19" ht="33.75" x14ac:dyDescent="0.2">
      <c r="A327" s="131" t="s">
        <v>416</v>
      </c>
      <c r="B327" s="151">
        <v>11</v>
      </c>
      <c r="C327" s="152">
        <v>2</v>
      </c>
      <c r="D327" s="188" t="s">
        <v>553</v>
      </c>
      <c r="E327" s="135">
        <v>200</v>
      </c>
      <c r="F327" s="135"/>
      <c r="G327" s="123">
        <f t="shared" si="152"/>
        <v>0</v>
      </c>
      <c r="H327" s="123">
        <f t="shared" si="152"/>
        <v>355.7</v>
      </c>
      <c r="I327" s="123">
        <f t="shared" si="152"/>
        <v>355.7</v>
      </c>
      <c r="J327" s="123">
        <f t="shared" si="152"/>
        <v>355.7</v>
      </c>
      <c r="K327" s="123">
        <f t="shared" si="145"/>
        <v>0</v>
      </c>
      <c r="L327" s="118">
        <f t="shared" si="136"/>
        <v>100</v>
      </c>
      <c r="M327" s="123">
        <f t="shared" si="130"/>
        <v>0</v>
      </c>
      <c r="N327" s="123">
        <f t="shared" si="146"/>
        <v>100</v>
      </c>
      <c r="O327" s="123"/>
      <c r="P327" s="123">
        <f t="shared" si="147"/>
        <v>100</v>
      </c>
      <c r="Q327" s="123">
        <f t="shared" si="148"/>
        <v>355.7</v>
      </c>
      <c r="R327" s="123"/>
      <c r="S327" s="123">
        <f>J327/$J$329*100</f>
        <v>0.34561962712597305</v>
      </c>
    </row>
    <row r="328" spans="1:19" ht="40.9" customHeight="1" x14ac:dyDescent="0.2">
      <c r="A328" s="131" t="s">
        <v>418</v>
      </c>
      <c r="B328" s="151">
        <v>11</v>
      </c>
      <c r="C328" s="152">
        <v>2</v>
      </c>
      <c r="D328" s="188" t="s">
        <v>553</v>
      </c>
      <c r="E328" s="135">
        <v>244</v>
      </c>
      <c r="F328" s="135">
        <v>310</v>
      </c>
      <c r="G328" s="123"/>
      <c r="H328" s="123">
        <v>355.7</v>
      </c>
      <c r="I328" s="123">
        <v>355.7</v>
      </c>
      <c r="J328" s="123">
        <v>355.7</v>
      </c>
      <c r="K328" s="123">
        <f t="shared" si="145"/>
        <v>0</v>
      </c>
      <c r="L328" s="118">
        <f t="shared" si="136"/>
        <v>100</v>
      </c>
      <c r="M328" s="123">
        <f t="shared" si="130"/>
        <v>0</v>
      </c>
      <c r="N328" s="123">
        <f t="shared" si="146"/>
        <v>100</v>
      </c>
      <c r="O328" s="123"/>
      <c r="P328" s="123">
        <f t="shared" si="147"/>
        <v>100</v>
      </c>
      <c r="Q328" s="123">
        <f t="shared" si="148"/>
        <v>355.7</v>
      </c>
      <c r="R328" s="123"/>
      <c r="S328" s="123">
        <f>J328/$J$329*100</f>
        <v>0.34561962712597305</v>
      </c>
    </row>
    <row r="329" spans="1:19" s="119" customFormat="1" ht="17.25" customHeight="1" x14ac:dyDescent="0.2">
      <c r="A329" s="202" t="s">
        <v>554</v>
      </c>
      <c r="B329" s="129"/>
      <c r="C329" s="129"/>
      <c r="D329" s="129"/>
      <c r="E329" s="129"/>
      <c r="F329" s="129"/>
      <c r="G329" s="116">
        <f>G5+G97+G108+G153+G191+G265+G304+G297+G252+G290</f>
        <v>65068.799999999996</v>
      </c>
      <c r="H329" s="116">
        <f>H5+H97+H108+H153+H191+H265+H304+H297+H252+H290</f>
        <v>110738.2</v>
      </c>
      <c r="I329" s="116">
        <f>I5+I97+I108+I153+I191+I265+I304+I297+I252+I290</f>
        <v>110738.18425000002</v>
      </c>
      <c r="J329" s="116">
        <f>J5+J97+J108+J153+J191+J265+J304+J297+J252+J290</f>
        <v>102916.60892000003</v>
      </c>
      <c r="K329" s="116">
        <f t="shared" si="145"/>
        <v>-1.5749999976833351E-2</v>
      </c>
      <c r="L329" s="116">
        <f>I329/H329*100</f>
        <v>99.999985777265678</v>
      </c>
      <c r="M329" s="116">
        <f t="shared" si="130"/>
        <v>-7821.5753299999924</v>
      </c>
      <c r="N329" s="116">
        <f t="shared" si="146"/>
        <v>92.936875944848268</v>
      </c>
      <c r="O329" s="116">
        <f t="shared" ref="O329" si="153">J329/G329*100</f>
        <v>158.16583204239208</v>
      </c>
      <c r="P329" s="116">
        <f t="shared" si="147"/>
        <v>92.936862726683316</v>
      </c>
      <c r="Q329" s="116">
        <f t="shared" si="148"/>
        <v>45669.4</v>
      </c>
      <c r="R329" s="116">
        <f t="shared" ref="R329" si="154">H329/G329*100</f>
        <v>170.1863258581686</v>
      </c>
      <c r="S329" s="116">
        <f>J329/$J$329*100</f>
        <v>100</v>
      </c>
    </row>
  </sheetData>
  <autoFilter ref="A4:S329"/>
  <mergeCells count="2">
    <mergeCell ref="A1:S1"/>
    <mergeCell ref="A3:S3"/>
  </mergeCells>
  <pageMargins left="0.23622047244094491" right="0.23622047244094491" top="0.74803149606299213" bottom="0.74803149606299213" header="0.31496062992125984" footer="0.31496062992125984"/>
  <pageSetup paperSize="9" scale="10" fitToHeight="0" orientation="portrait" copies="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</vt:lpstr>
      <vt:lpstr>2</vt:lpstr>
      <vt:lpstr>3</vt:lpstr>
      <vt:lpstr>Лист1</vt:lpstr>
      <vt:lpstr>Лист2</vt:lpstr>
      <vt:lpstr>Лист3</vt:lpstr>
      <vt:lpstr>'1'!Заголовки_для_печати</vt:lpstr>
      <vt:lpstr>'2'!Заголовки_для_печати</vt:lpstr>
      <vt:lpstr>'3'!Заголовки_для_печати</vt:lpstr>
      <vt:lpstr>'1'!Область_печати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2024-03-14T06:53:49Z</dcterms:modified>
</cp:coreProperties>
</file>